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PSM Allgem_Glyphosat\Glyphosat\Antragstellung Ausgleich Glyphosat-Verbot\Antragstellung 2025 für 2024\"/>
    </mc:Choice>
  </mc:AlternateContent>
  <xr:revisionPtr revIDLastSave="0" documentId="8_{D7DD5F81-969A-47BB-92B7-9F36EE7F054C}" xr6:coauthVersionLast="47" xr6:coauthVersionMax="47" xr10:uidLastSave="{00000000-0000-0000-0000-000000000000}"/>
  <bookViews>
    <workbookView xWindow="-120" yWindow="-120" windowWidth="25440" windowHeight="15390" xr2:uid="{F9D01623-E869-4440-BA20-C59F34E9FAD2}"/>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1" l="1"/>
  <c r="F162" i="1"/>
  <c r="BE147" i="1"/>
  <c r="AW147" i="1"/>
  <c r="AS147" i="1"/>
  <c r="AT147" i="1" s="1"/>
  <c r="AR147" i="1"/>
  <c r="AP147" i="1"/>
  <c r="AN147" i="1"/>
  <c r="AL147" i="1"/>
  <c r="AJ147" i="1"/>
  <c r="AH147" i="1"/>
  <c r="AF147" i="1"/>
  <c r="AD147" i="1"/>
  <c r="AB147" i="1"/>
  <c r="Z147" i="1"/>
  <c r="X147" i="1"/>
  <c r="V147" i="1"/>
  <c r="T147" i="1"/>
  <c r="R147" i="1"/>
  <c r="P147" i="1"/>
  <c r="N147" i="1"/>
  <c r="L147" i="1"/>
  <c r="J147" i="1"/>
  <c r="AZ147" i="1" s="1"/>
  <c r="BD146" i="1"/>
  <c r="AT146" i="1"/>
  <c r="AR146" i="1"/>
  <c r="AP146" i="1"/>
  <c r="AN146" i="1"/>
  <c r="AL146" i="1"/>
  <c r="AJ146" i="1"/>
  <c r="AH146" i="1"/>
  <c r="AF146" i="1"/>
  <c r="AD146" i="1"/>
  <c r="AB146" i="1"/>
  <c r="Z146" i="1"/>
  <c r="X146" i="1"/>
  <c r="V146" i="1"/>
  <c r="T146" i="1"/>
  <c r="R146" i="1"/>
  <c r="P146" i="1"/>
  <c r="N146" i="1"/>
  <c r="AZ146" i="1" s="1"/>
  <c r="L146" i="1"/>
  <c r="J146" i="1"/>
  <c r="BD145" i="1"/>
  <c r="AW145" i="1"/>
  <c r="AT145" i="1"/>
  <c r="AS145" i="1"/>
  <c r="AR145" i="1"/>
  <c r="AP145" i="1"/>
  <c r="AN145" i="1"/>
  <c r="AL145" i="1"/>
  <c r="AJ145" i="1"/>
  <c r="AH145" i="1"/>
  <c r="AF145" i="1"/>
  <c r="AD145" i="1"/>
  <c r="AB145" i="1"/>
  <c r="Z145" i="1"/>
  <c r="X145" i="1"/>
  <c r="V145" i="1"/>
  <c r="T145" i="1"/>
  <c r="R145" i="1"/>
  <c r="P145" i="1"/>
  <c r="N145" i="1"/>
  <c r="L145" i="1"/>
  <c r="J145" i="1"/>
  <c r="AZ145" i="1" s="1"/>
  <c r="BD144" i="1"/>
  <c r="AT144" i="1"/>
  <c r="AR144" i="1"/>
  <c r="AP144" i="1"/>
  <c r="AN144" i="1"/>
  <c r="AZ144" i="1" s="1"/>
  <c r="AL144" i="1"/>
  <c r="AJ144" i="1"/>
  <c r="AH144" i="1"/>
  <c r="AF144" i="1"/>
  <c r="AD144" i="1"/>
  <c r="AB144" i="1"/>
  <c r="Z144" i="1"/>
  <c r="X144" i="1"/>
  <c r="V144" i="1"/>
  <c r="T144" i="1"/>
  <c r="R144" i="1"/>
  <c r="P144" i="1"/>
  <c r="N144" i="1"/>
  <c r="L144" i="1"/>
  <c r="J144" i="1"/>
  <c r="AR143" i="1"/>
  <c r="AP143" i="1"/>
  <c r="AN143" i="1"/>
  <c r="AZ143" i="1" s="1"/>
  <c r="AL143" i="1"/>
  <c r="AJ143" i="1"/>
  <c r="AH143" i="1"/>
  <c r="AF143" i="1"/>
  <c r="AD143" i="1"/>
  <c r="AB143" i="1"/>
  <c r="Z143" i="1"/>
  <c r="X143" i="1"/>
  <c r="V143" i="1"/>
  <c r="T143" i="1"/>
  <c r="R143" i="1"/>
  <c r="P143" i="1"/>
  <c r="N143" i="1"/>
  <c r="L143" i="1"/>
  <c r="J143" i="1"/>
  <c r="H143" i="1"/>
  <c r="BD142" i="1"/>
  <c r="AR142" i="1"/>
  <c r="AP142" i="1"/>
  <c r="AN142" i="1"/>
  <c r="AZ142" i="1" s="1"/>
  <c r="AL142" i="1"/>
  <c r="AJ142" i="1"/>
  <c r="AH142" i="1"/>
  <c r="AF142" i="1"/>
  <c r="AD142" i="1"/>
  <c r="AB142" i="1"/>
  <c r="Z142" i="1"/>
  <c r="X142" i="1"/>
  <c r="V142" i="1"/>
  <c r="T142" i="1"/>
  <c r="R142" i="1"/>
  <c r="P142" i="1"/>
  <c r="N142" i="1"/>
  <c r="L142" i="1"/>
  <c r="J142" i="1"/>
  <c r="H142" i="1"/>
  <c r="AR141" i="1"/>
  <c r="AP141" i="1"/>
  <c r="AN141" i="1"/>
  <c r="AZ141" i="1" s="1"/>
  <c r="AL141" i="1"/>
  <c r="AJ141" i="1"/>
  <c r="AH141" i="1"/>
  <c r="AF141" i="1"/>
  <c r="AD141" i="1"/>
  <c r="AB141" i="1"/>
  <c r="Z141" i="1"/>
  <c r="X141" i="1"/>
  <c r="V141" i="1"/>
  <c r="T141" i="1"/>
  <c r="R141" i="1"/>
  <c r="P141" i="1"/>
  <c r="N141" i="1"/>
  <c r="L141" i="1"/>
  <c r="J141" i="1"/>
  <c r="H141" i="1"/>
  <c r="BD140" i="1"/>
  <c r="AU140" i="1"/>
  <c r="AU141" i="1" s="1"/>
  <c r="AR140" i="1"/>
  <c r="AP140" i="1"/>
  <c r="AN140" i="1"/>
  <c r="AZ140" i="1" s="1"/>
  <c r="AL140" i="1"/>
  <c r="AJ140" i="1"/>
  <c r="AH140" i="1"/>
  <c r="AF140" i="1"/>
  <c r="AD140" i="1"/>
  <c r="AB140" i="1"/>
  <c r="Z140" i="1"/>
  <c r="X140" i="1"/>
  <c r="V140" i="1"/>
  <c r="T140" i="1"/>
  <c r="R140" i="1"/>
  <c r="P140" i="1"/>
  <c r="N140" i="1"/>
  <c r="L140" i="1"/>
  <c r="J140" i="1"/>
  <c r="H140" i="1"/>
  <c r="BD136" i="1"/>
  <c r="AW136" i="1"/>
  <c r="AT136" i="1"/>
  <c r="AS136" i="1"/>
  <c r="AR136" i="1"/>
  <c r="AP136" i="1"/>
  <c r="AN136" i="1"/>
  <c r="AZ136" i="1" s="1"/>
  <c r="AL136" i="1"/>
  <c r="AJ136" i="1"/>
  <c r="AH136" i="1"/>
  <c r="AF136" i="1"/>
  <c r="AD136" i="1"/>
  <c r="AB136" i="1"/>
  <c r="Z136" i="1"/>
  <c r="X136" i="1"/>
  <c r="V136" i="1"/>
  <c r="T136" i="1"/>
  <c r="R136" i="1"/>
  <c r="P136" i="1"/>
  <c r="N136" i="1"/>
  <c r="L136" i="1"/>
  <c r="J136" i="1"/>
  <c r="BD135" i="1"/>
  <c r="BD137" i="1" s="1"/>
  <c r="AT135" i="1"/>
  <c r="AR135" i="1"/>
  <c r="AP135" i="1"/>
  <c r="AN135" i="1"/>
  <c r="AZ135" i="1" s="1"/>
  <c r="AL135" i="1"/>
  <c r="AJ135" i="1"/>
  <c r="AH135" i="1"/>
  <c r="AF135" i="1"/>
  <c r="AD135" i="1"/>
  <c r="AB135" i="1"/>
  <c r="Z135" i="1"/>
  <c r="X135" i="1"/>
  <c r="V135" i="1"/>
  <c r="T135" i="1"/>
  <c r="R135" i="1"/>
  <c r="P135" i="1"/>
  <c r="N135" i="1"/>
  <c r="L135" i="1"/>
  <c r="J135" i="1"/>
  <c r="BD134" i="1"/>
  <c r="AW134" i="1"/>
  <c r="AS134" i="1"/>
  <c r="AT134" i="1" s="1"/>
  <c r="AR134" i="1"/>
  <c r="AP134" i="1"/>
  <c r="AN134" i="1"/>
  <c r="AZ134" i="1" s="1"/>
  <c r="AL134" i="1"/>
  <c r="AJ134" i="1"/>
  <c r="AH134" i="1"/>
  <c r="AF134" i="1"/>
  <c r="AD134" i="1"/>
  <c r="AB134" i="1"/>
  <c r="Z134" i="1"/>
  <c r="X134" i="1"/>
  <c r="V134" i="1"/>
  <c r="T134" i="1"/>
  <c r="R134" i="1"/>
  <c r="P134" i="1"/>
  <c r="N134" i="1"/>
  <c r="L134" i="1"/>
  <c r="J134" i="1"/>
  <c r="BD133" i="1"/>
  <c r="AT133" i="1"/>
  <c r="AR133" i="1"/>
  <c r="AP133" i="1"/>
  <c r="AN133" i="1"/>
  <c r="AZ133" i="1" s="1"/>
  <c r="AL133" i="1"/>
  <c r="AJ133" i="1"/>
  <c r="AH133" i="1"/>
  <c r="AF133" i="1"/>
  <c r="AD133" i="1"/>
  <c r="AB133" i="1"/>
  <c r="Z133" i="1"/>
  <c r="X133" i="1"/>
  <c r="V133" i="1"/>
  <c r="T133" i="1"/>
  <c r="R133" i="1"/>
  <c r="P133" i="1"/>
  <c r="N133" i="1"/>
  <c r="L133" i="1"/>
  <c r="J133" i="1"/>
  <c r="BD132" i="1"/>
  <c r="BD143" i="1" s="1"/>
  <c r="AR132" i="1"/>
  <c r="AP132" i="1"/>
  <c r="AN132" i="1"/>
  <c r="AZ132" i="1" s="1"/>
  <c r="AL132" i="1"/>
  <c r="AJ132" i="1"/>
  <c r="AH132" i="1"/>
  <c r="AF132" i="1"/>
  <c r="AD132" i="1"/>
  <c r="AB132" i="1"/>
  <c r="Z132" i="1"/>
  <c r="X132" i="1"/>
  <c r="V132" i="1"/>
  <c r="T132" i="1"/>
  <c r="R132" i="1"/>
  <c r="P132" i="1"/>
  <c r="N132" i="1"/>
  <c r="L132" i="1"/>
  <c r="J132" i="1"/>
  <c r="H132" i="1"/>
  <c r="BD131" i="1"/>
  <c r="AV131" i="1"/>
  <c r="AU131" i="1"/>
  <c r="AT131" i="1"/>
  <c r="AS131" i="1"/>
  <c r="AR131" i="1"/>
  <c r="AP131" i="1"/>
  <c r="AN131" i="1"/>
  <c r="AZ131" i="1" s="1"/>
  <c r="AL131" i="1"/>
  <c r="AJ131" i="1"/>
  <c r="AH131" i="1"/>
  <c r="AF131" i="1"/>
  <c r="AD131" i="1"/>
  <c r="AB131" i="1"/>
  <c r="Z131" i="1"/>
  <c r="X131" i="1"/>
  <c r="V131" i="1"/>
  <c r="T131" i="1"/>
  <c r="R131" i="1"/>
  <c r="P131" i="1"/>
  <c r="N131" i="1"/>
  <c r="L131" i="1"/>
  <c r="J131" i="1"/>
  <c r="H131" i="1"/>
  <c r="BD130" i="1"/>
  <c r="AW130" i="1"/>
  <c r="AU130" i="1"/>
  <c r="AS130" i="1"/>
  <c r="AS140" i="1" s="1"/>
  <c r="AR130" i="1"/>
  <c r="AP130" i="1"/>
  <c r="AN130" i="1"/>
  <c r="AZ130" i="1" s="1"/>
  <c r="AL130" i="1"/>
  <c r="AJ130" i="1"/>
  <c r="AH130" i="1"/>
  <c r="AF130" i="1"/>
  <c r="AD130" i="1"/>
  <c r="AB130" i="1"/>
  <c r="Z130" i="1"/>
  <c r="X130" i="1"/>
  <c r="V130" i="1"/>
  <c r="T130" i="1"/>
  <c r="R130" i="1"/>
  <c r="P130" i="1"/>
  <c r="N130" i="1"/>
  <c r="L130" i="1"/>
  <c r="J130" i="1"/>
  <c r="H130" i="1"/>
  <c r="BD129" i="1"/>
  <c r="AX129" i="1"/>
  <c r="AY129" i="1" s="1"/>
  <c r="AV129" i="1"/>
  <c r="AT129" i="1"/>
  <c r="AR129" i="1"/>
  <c r="AP129" i="1"/>
  <c r="AN129" i="1"/>
  <c r="AZ129" i="1" s="1"/>
  <c r="AL129" i="1"/>
  <c r="AJ129" i="1"/>
  <c r="AH129" i="1"/>
  <c r="AF129" i="1"/>
  <c r="AD129" i="1"/>
  <c r="AB129" i="1"/>
  <c r="Z129" i="1"/>
  <c r="X129" i="1"/>
  <c r="V129" i="1"/>
  <c r="T129" i="1"/>
  <c r="R129" i="1"/>
  <c r="P129" i="1"/>
  <c r="N129" i="1"/>
  <c r="L129" i="1"/>
  <c r="J129" i="1"/>
  <c r="H129" i="1"/>
  <c r="BE125" i="1"/>
  <c r="AZ125" i="1"/>
  <c r="AW125" i="1"/>
  <c r="AS125" i="1"/>
  <c r="AT125" i="1" s="1"/>
  <c r="AR125" i="1"/>
  <c r="AP125" i="1"/>
  <c r="AN125" i="1"/>
  <c r="AL125" i="1"/>
  <c r="AJ125" i="1"/>
  <c r="AH125" i="1"/>
  <c r="AF125" i="1"/>
  <c r="AD125" i="1"/>
  <c r="AB125" i="1"/>
  <c r="Z125" i="1"/>
  <c r="X125" i="1"/>
  <c r="V125" i="1"/>
  <c r="T125" i="1"/>
  <c r="R125" i="1"/>
  <c r="P125" i="1"/>
  <c r="N125" i="1"/>
  <c r="L125" i="1"/>
  <c r="J125" i="1"/>
  <c r="AT124" i="1"/>
  <c r="AR124" i="1"/>
  <c r="AP124" i="1"/>
  <c r="AN124" i="1"/>
  <c r="AZ124" i="1" s="1"/>
  <c r="AL124" i="1"/>
  <c r="AJ124" i="1"/>
  <c r="AH124" i="1"/>
  <c r="AF124" i="1"/>
  <c r="AD124" i="1"/>
  <c r="AB124" i="1"/>
  <c r="Z124" i="1"/>
  <c r="X124" i="1"/>
  <c r="V124" i="1"/>
  <c r="T124" i="1"/>
  <c r="R124" i="1"/>
  <c r="P124" i="1"/>
  <c r="N124" i="1"/>
  <c r="L124" i="1"/>
  <c r="J124" i="1"/>
  <c r="AZ123" i="1"/>
  <c r="AW123" i="1"/>
  <c r="AS123" i="1"/>
  <c r="AT123" i="1" s="1"/>
  <c r="AR123" i="1"/>
  <c r="AP123" i="1"/>
  <c r="AN123" i="1"/>
  <c r="AL123" i="1"/>
  <c r="AJ123" i="1"/>
  <c r="AH123" i="1"/>
  <c r="AF123" i="1"/>
  <c r="AD123" i="1"/>
  <c r="AB123" i="1"/>
  <c r="Z123" i="1"/>
  <c r="X123" i="1"/>
  <c r="V123" i="1"/>
  <c r="T123" i="1"/>
  <c r="R123" i="1"/>
  <c r="P123" i="1"/>
  <c r="N123" i="1"/>
  <c r="L123" i="1"/>
  <c r="J123" i="1"/>
  <c r="BD122" i="1"/>
  <c r="BD123" i="1" s="1"/>
  <c r="AU122" i="1"/>
  <c r="AU124" i="1" s="1"/>
  <c r="AT122" i="1"/>
  <c r="AR122" i="1"/>
  <c r="AP122" i="1"/>
  <c r="AN122" i="1"/>
  <c r="AL122" i="1"/>
  <c r="AJ122" i="1"/>
  <c r="AH122" i="1"/>
  <c r="AF122" i="1"/>
  <c r="AD122" i="1"/>
  <c r="AB122" i="1"/>
  <c r="Z122" i="1"/>
  <c r="X122" i="1"/>
  <c r="V122" i="1"/>
  <c r="T122" i="1"/>
  <c r="R122" i="1"/>
  <c r="P122" i="1"/>
  <c r="N122" i="1"/>
  <c r="L122" i="1"/>
  <c r="J122" i="1"/>
  <c r="AZ121" i="1"/>
  <c r="AW121" i="1"/>
  <c r="AX121" i="1" s="1"/>
  <c r="AV121" i="1"/>
  <c r="AU121" i="1"/>
  <c r="AS121" i="1"/>
  <c r="AT121" i="1" s="1"/>
  <c r="AR121" i="1"/>
  <c r="AP121" i="1"/>
  <c r="AN121" i="1"/>
  <c r="AL121" i="1"/>
  <c r="AJ121" i="1"/>
  <c r="AH121" i="1"/>
  <c r="AF121" i="1"/>
  <c r="AD121" i="1"/>
  <c r="AB121" i="1"/>
  <c r="Z121" i="1"/>
  <c r="X121" i="1"/>
  <c r="V121" i="1"/>
  <c r="T121" i="1"/>
  <c r="R121" i="1"/>
  <c r="P121" i="1"/>
  <c r="N121" i="1"/>
  <c r="L121" i="1"/>
  <c r="J121" i="1"/>
  <c r="H121" i="1"/>
  <c r="BD120" i="1"/>
  <c r="AY120" i="1"/>
  <c r="AX120" i="1"/>
  <c r="AT120" i="1"/>
  <c r="AV120" i="1" s="1"/>
  <c r="AR120" i="1"/>
  <c r="AP120" i="1"/>
  <c r="AN120" i="1"/>
  <c r="AZ120" i="1" s="1"/>
  <c r="AL120" i="1"/>
  <c r="AJ120" i="1"/>
  <c r="AH120" i="1"/>
  <c r="AF120" i="1"/>
  <c r="AD120" i="1"/>
  <c r="AB120" i="1"/>
  <c r="Z120" i="1"/>
  <c r="X120" i="1"/>
  <c r="V120" i="1"/>
  <c r="T120" i="1"/>
  <c r="R120" i="1"/>
  <c r="P120" i="1"/>
  <c r="N120" i="1"/>
  <c r="L120" i="1"/>
  <c r="J120" i="1"/>
  <c r="H120" i="1"/>
  <c r="BE116" i="1"/>
  <c r="AW116" i="1"/>
  <c r="AS116" i="1"/>
  <c r="AT116" i="1" s="1"/>
  <c r="AR116" i="1"/>
  <c r="AP116" i="1"/>
  <c r="AN116" i="1"/>
  <c r="AL116" i="1"/>
  <c r="AJ116" i="1"/>
  <c r="AH116" i="1"/>
  <c r="AF116" i="1"/>
  <c r="AD116" i="1"/>
  <c r="AB116" i="1"/>
  <c r="Z116" i="1"/>
  <c r="X116" i="1"/>
  <c r="V116" i="1"/>
  <c r="T116" i="1"/>
  <c r="R116" i="1"/>
  <c r="P116" i="1"/>
  <c r="N116" i="1"/>
  <c r="L116" i="1"/>
  <c r="J116" i="1"/>
  <c r="H116" i="1"/>
  <c r="BD115" i="1"/>
  <c r="BD116" i="1" s="1"/>
  <c r="AZ115" i="1"/>
  <c r="AT115" i="1"/>
  <c r="AR115" i="1"/>
  <c r="AP115" i="1"/>
  <c r="AN115" i="1"/>
  <c r="AL115" i="1"/>
  <c r="AJ115" i="1"/>
  <c r="AH115" i="1"/>
  <c r="AF115" i="1"/>
  <c r="AD115" i="1"/>
  <c r="AB115" i="1"/>
  <c r="Z115" i="1"/>
  <c r="X115" i="1"/>
  <c r="V115" i="1"/>
  <c r="T115" i="1"/>
  <c r="R115" i="1"/>
  <c r="P115" i="1"/>
  <c r="N115" i="1"/>
  <c r="L115" i="1"/>
  <c r="J115" i="1"/>
  <c r="H115" i="1"/>
  <c r="AW114" i="1"/>
  <c r="AS114" i="1"/>
  <c r="AT114" i="1" s="1"/>
  <c r="AR114" i="1"/>
  <c r="AP114" i="1"/>
  <c r="AN114" i="1"/>
  <c r="AL114" i="1"/>
  <c r="AJ114" i="1"/>
  <c r="AH114" i="1"/>
  <c r="AF114" i="1"/>
  <c r="AD114" i="1"/>
  <c r="AB114" i="1"/>
  <c r="Z114" i="1"/>
  <c r="X114" i="1"/>
  <c r="V114" i="1"/>
  <c r="T114" i="1"/>
  <c r="R114" i="1"/>
  <c r="P114" i="1"/>
  <c r="N114" i="1"/>
  <c r="L114" i="1"/>
  <c r="J114" i="1"/>
  <c r="BD113" i="1"/>
  <c r="BD114" i="1" s="1"/>
  <c r="AT113" i="1"/>
  <c r="AR113" i="1"/>
  <c r="AP113" i="1"/>
  <c r="AN113" i="1"/>
  <c r="AZ113" i="1" s="1"/>
  <c r="AL113" i="1"/>
  <c r="AJ113" i="1"/>
  <c r="AH113" i="1"/>
  <c r="AF113" i="1"/>
  <c r="AD113" i="1"/>
  <c r="AB113" i="1"/>
  <c r="Z113" i="1"/>
  <c r="X113" i="1"/>
  <c r="V113" i="1"/>
  <c r="T113" i="1"/>
  <c r="R113" i="1"/>
  <c r="P113" i="1"/>
  <c r="N113" i="1"/>
  <c r="L113" i="1"/>
  <c r="J113" i="1"/>
  <c r="AW112" i="1"/>
  <c r="AS112" i="1"/>
  <c r="AT112" i="1" s="1"/>
  <c r="AR112" i="1"/>
  <c r="AP112" i="1"/>
  <c r="AN112" i="1"/>
  <c r="AZ112" i="1" s="1"/>
  <c r="AL112" i="1"/>
  <c r="AJ112" i="1"/>
  <c r="AH112" i="1"/>
  <c r="AF112" i="1"/>
  <c r="AD112" i="1"/>
  <c r="AB112" i="1"/>
  <c r="Z112" i="1"/>
  <c r="X112" i="1"/>
  <c r="V112" i="1"/>
  <c r="T112" i="1"/>
  <c r="R112" i="1"/>
  <c r="P112" i="1"/>
  <c r="N112" i="1"/>
  <c r="L112" i="1"/>
  <c r="J112" i="1"/>
  <c r="H112" i="1"/>
  <c r="BD111" i="1"/>
  <c r="BD112" i="1" s="1"/>
  <c r="AU111" i="1"/>
  <c r="AT111" i="1"/>
  <c r="AR111" i="1"/>
  <c r="AP111" i="1"/>
  <c r="AN111" i="1"/>
  <c r="AZ111" i="1" s="1"/>
  <c r="AL111" i="1"/>
  <c r="AJ111" i="1"/>
  <c r="AH111" i="1"/>
  <c r="AF111" i="1"/>
  <c r="AD111" i="1"/>
  <c r="AB111" i="1"/>
  <c r="Z111" i="1"/>
  <c r="X111" i="1"/>
  <c r="V111" i="1"/>
  <c r="T111" i="1"/>
  <c r="R111" i="1"/>
  <c r="P111" i="1"/>
  <c r="N111" i="1"/>
  <c r="L111" i="1"/>
  <c r="J111" i="1"/>
  <c r="H111" i="1"/>
  <c r="AW110" i="1"/>
  <c r="AS110" i="1"/>
  <c r="AT110" i="1" s="1"/>
  <c r="AR110" i="1"/>
  <c r="AP110" i="1"/>
  <c r="AN110" i="1"/>
  <c r="AZ110" i="1" s="1"/>
  <c r="AL110" i="1"/>
  <c r="AJ110" i="1"/>
  <c r="AH110" i="1"/>
  <c r="AF110" i="1"/>
  <c r="AD110" i="1"/>
  <c r="AB110" i="1"/>
  <c r="Z110" i="1"/>
  <c r="X110" i="1"/>
  <c r="V110" i="1"/>
  <c r="T110" i="1"/>
  <c r="R110" i="1"/>
  <c r="P110" i="1"/>
  <c r="N110" i="1"/>
  <c r="L110" i="1"/>
  <c r="J110" i="1"/>
  <c r="H110" i="1"/>
  <c r="BD109" i="1"/>
  <c r="BD110" i="1" s="1"/>
  <c r="AU109" i="1"/>
  <c r="AT109" i="1"/>
  <c r="AR109" i="1"/>
  <c r="AP109" i="1"/>
  <c r="AN109" i="1"/>
  <c r="AZ109" i="1" s="1"/>
  <c r="AL109" i="1"/>
  <c r="AJ109" i="1"/>
  <c r="AH109" i="1"/>
  <c r="AF109" i="1"/>
  <c r="AD109" i="1"/>
  <c r="AB109" i="1"/>
  <c r="Z109" i="1"/>
  <c r="X109" i="1"/>
  <c r="V109" i="1"/>
  <c r="T109" i="1"/>
  <c r="R109" i="1"/>
  <c r="P109" i="1"/>
  <c r="N109" i="1"/>
  <c r="L109" i="1"/>
  <c r="J109" i="1"/>
  <c r="H109" i="1"/>
  <c r="AW108" i="1"/>
  <c r="AS108" i="1"/>
  <c r="AT108" i="1" s="1"/>
  <c r="AR108" i="1"/>
  <c r="AP108" i="1"/>
  <c r="AN108" i="1"/>
  <c r="AL108" i="1"/>
  <c r="AJ108" i="1"/>
  <c r="AH108" i="1"/>
  <c r="AF108" i="1"/>
  <c r="AD108" i="1"/>
  <c r="AB108" i="1"/>
  <c r="Z108" i="1"/>
  <c r="X108" i="1"/>
  <c r="V108" i="1"/>
  <c r="T108" i="1"/>
  <c r="R108" i="1"/>
  <c r="P108" i="1"/>
  <c r="N108" i="1"/>
  <c r="L108" i="1"/>
  <c r="J108" i="1"/>
  <c r="H108" i="1"/>
  <c r="BD107" i="1"/>
  <c r="BD108" i="1" s="1"/>
  <c r="AV107" i="1"/>
  <c r="AU107" i="1"/>
  <c r="AX107" i="1" s="1"/>
  <c r="AT107" i="1"/>
  <c r="AR107" i="1"/>
  <c r="AP107" i="1"/>
  <c r="AN107" i="1"/>
  <c r="AL107" i="1"/>
  <c r="AJ107" i="1"/>
  <c r="AH107" i="1"/>
  <c r="AF107" i="1"/>
  <c r="AD107" i="1"/>
  <c r="AB107" i="1"/>
  <c r="Z107" i="1"/>
  <c r="X107" i="1"/>
  <c r="V107" i="1"/>
  <c r="T107" i="1"/>
  <c r="R107" i="1"/>
  <c r="P107" i="1"/>
  <c r="N107" i="1"/>
  <c r="L107" i="1"/>
  <c r="J107" i="1"/>
  <c r="AZ107" i="1" s="1"/>
  <c r="H107" i="1"/>
  <c r="BD106" i="1"/>
  <c r="AW106" i="1"/>
  <c r="AU106" i="1"/>
  <c r="AS106" i="1"/>
  <c r="AT106" i="1" s="1"/>
  <c r="AR106" i="1"/>
  <c r="AP106" i="1"/>
  <c r="AN106" i="1"/>
  <c r="AL106" i="1"/>
  <c r="AJ106" i="1"/>
  <c r="AH106" i="1"/>
  <c r="AF106" i="1"/>
  <c r="AD106" i="1"/>
  <c r="AB106" i="1"/>
  <c r="Z106" i="1"/>
  <c r="X106" i="1"/>
  <c r="V106" i="1"/>
  <c r="T106" i="1"/>
  <c r="R106" i="1"/>
  <c r="P106" i="1"/>
  <c r="N106" i="1"/>
  <c r="L106" i="1"/>
  <c r="J106" i="1"/>
  <c r="H106" i="1"/>
  <c r="BD105" i="1"/>
  <c r="BD117" i="1" s="1"/>
  <c r="AX105" i="1"/>
  <c r="AY105" i="1" s="1"/>
  <c r="AT105" i="1"/>
  <c r="AV105" i="1" s="1"/>
  <c r="AR105" i="1"/>
  <c r="AP105" i="1"/>
  <c r="AN105" i="1"/>
  <c r="AL105" i="1"/>
  <c r="AJ105" i="1"/>
  <c r="AH105" i="1"/>
  <c r="AF105" i="1"/>
  <c r="AD105" i="1"/>
  <c r="AB105" i="1"/>
  <c r="Z105" i="1"/>
  <c r="X105" i="1"/>
  <c r="V105" i="1"/>
  <c r="T105" i="1"/>
  <c r="R105" i="1"/>
  <c r="P105" i="1"/>
  <c r="N105" i="1"/>
  <c r="L105" i="1"/>
  <c r="J105" i="1"/>
  <c r="AZ105" i="1" s="1"/>
  <c r="H105" i="1"/>
  <c r="B105" i="1"/>
  <c r="BD101" i="1"/>
  <c r="BE100" i="1"/>
  <c r="BD100" i="1"/>
  <c r="AW100" i="1"/>
  <c r="AS100" i="1"/>
  <c r="AT100" i="1" s="1"/>
  <c r="AR100" i="1"/>
  <c r="AP100" i="1"/>
  <c r="AN100" i="1"/>
  <c r="AL100" i="1"/>
  <c r="AJ100" i="1"/>
  <c r="AH100" i="1"/>
  <c r="AF100" i="1"/>
  <c r="AD100" i="1"/>
  <c r="AB100" i="1"/>
  <c r="Z100" i="1"/>
  <c r="X100" i="1"/>
  <c r="V100" i="1"/>
  <c r="T100" i="1"/>
  <c r="R100" i="1"/>
  <c r="P100" i="1"/>
  <c r="N100" i="1"/>
  <c r="L100" i="1"/>
  <c r="J100" i="1"/>
  <c r="H100" i="1"/>
  <c r="BD99" i="1"/>
  <c r="AT99" i="1"/>
  <c r="AR99" i="1"/>
  <c r="AP99" i="1"/>
  <c r="AN99" i="1"/>
  <c r="AZ99" i="1" s="1"/>
  <c r="AL99" i="1"/>
  <c r="AJ99" i="1"/>
  <c r="AH99" i="1"/>
  <c r="AF99" i="1"/>
  <c r="AD99" i="1"/>
  <c r="AB99" i="1"/>
  <c r="Z99" i="1"/>
  <c r="X99" i="1"/>
  <c r="V99" i="1"/>
  <c r="T99" i="1"/>
  <c r="R99" i="1"/>
  <c r="P99" i="1"/>
  <c r="N99" i="1"/>
  <c r="L99" i="1"/>
  <c r="J99" i="1"/>
  <c r="H99" i="1"/>
  <c r="BD98" i="1"/>
  <c r="AW98" i="1"/>
  <c r="AS98" i="1"/>
  <c r="AT98" i="1" s="1"/>
  <c r="AR98" i="1"/>
  <c r="AP98" i="1"/>
  <c r="AN98" i="1"/>
  <c r="AZ98" i="1" s="1"/>
  <c r="AL98" i="1"/>
  <c r="AJ98" i="1"/>
  <c r="AH98" i="1"/>
  <c r="AF98" i="1"/>
  <c r="AD98" i="1"/>
  <c r="AB98" i="1"/>
  <c r="Z98" i="1"/>
  <c r="X98" i="1"/>
  <c r="V98" i="1"/>
  <c r="T98" i="1"/>
  <c r="R98" i="1"/>
  <c r="P98" i="1"/>
  <c r="N98" i="1"/>
  <c r="L98" i="1"/>
  <c r="J98" i="1"/>
  <c r="BD97" i="1"/>
  <c r="AT97" i="1"/>
  <c r="AR97" i="1"/>
  <c r="AP97" i="1"/>
  <c r="AN97" i="1"/>
  <c r="AZ97" i="1" s="1"/>
  <c r="AL97" i="1"/>
  <c r="AJ97" i="1"/>
  <c r="AH97" i="1"/>
  <c r="AF97" i="1"/>
  <c r="AD97" i="1"/>
  <c r="AB97" i="1"/>
  <c r="Z97" i="1"/>
  <c r="X97" i="1"/>
  <c r="V97" i="1"/>
  <c r="T97" i="1"/>
  <c r="R97" i="1"/>
  <c r="P97" i="1"/>
  <c r="N97" i="1"/>
  <c r="L97" i="1"/>
  <c r="J97" i="1"/>
  <c r="BD96" i="1"/>
  <c r="AW96" i="1"/>
  <c r="AS96" i="1"/>
  <c r="AT96" i="1" s="1"/>
  <c r="AR96" i="1"/>
  <c r="AP96" i="1"/>
  <c r="AN96" i="1"/>
  <c r="AL96" i="1"/>
  <c r="AJ96" i="1"/>
  <c r="AH96" i="1"/>
  <c r="AF96" i="1"/>
  <c r="AD96" i="1"/>
  <c r="AB96" i="1"/>
  <c r="Z96" i="1"/>
  <c r="X96" i="1"/>
  <c r="V96" i="1"/>
  <c r="T96" i="1"/>
  <c r="R96" i="1"/>
  <c r="P96" i="1"/>
  <c r="N96" i="1"/>
  <c r="L96" i="1"/>
  <c r="J96" i="1"/>
  <c r="H96" i="1"/>
  <c r="BD95" i="1"/>
  <c r="AT95" i="1"/>
  <c r="AR95" i="1"/>
  <c r="AP95" i="1"/>
  <c r="AN95" i="1"/>
  <c r="AZ95" i="1" s="1"/>
  <c r="AL95" i="1"/>
  <c r="AJ95" i="1"/>
  <c r="AH95" i="1"/>
  <c r="AF95" i="1"/>
  <c r="AD95" i="1"/>
  <c r="AB95" i="1"/>
  <c r="Z95" i="1"/>
  <c r="X95" i="1"/>
  <c r="V95" i="1"/>
  <c r="T95" i="1"/>
  <c r="R95" i="1"/>
  <c r="P95" i="1"/>
  <c r="N95" i="1"/>
  <c r="L95" i="1"/>
  <c r="J95" i="1"/>
  <c r="H95" i="1"/>
  <c r="BD94" i="1"/>
  <c r="AW94" i="1"/>
  <c r="AS94" i="1"/>
  <c r="AT94" i="1" s="1"/>
  <c r="AR94" i="1"/>
  <c r="AP94" i="1"/>
  <c r="AN94" i="1"/>
  <c r="AZ94" i="1" s="1"/>
  <c r="AL94" i="1"/>
  <c r="AJ94" i="1"/>
  <c r="AH94" i="1"/>
  <c r="AF94" i="1"/>
  <c r="AD94" i="1"/>
  <c r="AB94" i="1"/>
  <c r="Z94" i="1"/>
  <c r="X94" i="1"/>
  <c r="V94" i="1"/>
  <c r="T94" i="1"/>
  <c r="R94" i="1"/>
  <c r="P94" i="1"/>
  <c r="N94" i="1"/>
  <c r="L94" i="1"/>
  <c r="J94" i="1"/>
  <c r="H94" i="1"/>
  <c r="BD93" i="1"/>
  <c r="AT93" i="1"/>
  <c r="AR93" i="1"/>
  <c r="AP93" i="1"/>
  <c r="AN93" i="1"/>
  <c r="AZ93" i="1" s="1"/>
  <c r="AL93" i="1"/>
  <c r="AJ93" i="1"/>
  <c r="AH93" i="1"/>
  <c r="AF93" i="1"/>
  <c r="AD93" i="1"/>
  <c r="AB93" i="1"/>
  <c r="Z93" i="1"/>
  <c r="X93" i="1"/>
  <c r="V93" i="1"/>
  <c r="T93" i="1"/>
  <c r="R93" i="1"/>
  <c r="P93" i="1"/>
  <c r="N93" i="1"/>
  <c r="L93" i="1"/>
  <c r="J93" i="1"/>
  <c r="H93" i="1"/>
  <c r="BD92" i="1"/>
  <c r="AW92" i="1"/>
  <c r="AS92" i="1"/>
  <c r="AT92" i="1" s="1"/>
  <c r="AR92" i="1"/>
  <c r="AP92" i="1"/>
  <c r="AN92" i="1"/>
  <c r="AL92" i="1"/>
  <c r="AJ92" i="1"/>
  <c r="AH92" i="1"/>
  <c r="AF92" i="1"/>
  <c r="AD92" i="1"/>
  <c r="AB92" i="1"/>
  <c r="Z92" i="1"/>
  <c r="X92" i="1"/>
  <c r="V92" i="1"/>
  <c r="T92" i="1"/>
  <c r="R92" i="1"/>
  <c r="P92" i="1"/>
  <c r="N92" i="1"/>
  <c r="L92" i="1"/>
  <c r="J92" i="1"/>
  <c r="H92" i="1"/>
  <c r="BD91" i="1"/>
  <c r="AT91" i="1"/>
  <c r="AR91" i="1"/>
  <c r="AP91" i="1"/>
  <c r="AN91" i="1"/>
  <c r="AZ91" i="1" s="1"/>
  <c r="AL91" i="1"/>
  <c r="AJ91" i="1"/>
  <c r="AH91" i="1"/>
  <c r="AF91" i="1"/>
  <c r="AD91" i="1"/>
  <c r="AB91" i="1"/>
  <c r="Z91" i="1"/>
  <c r="X91" i="1"/>
  <c r="V91" i="1"/>
  <c r="T91" i="1"/>
  <c r="R91" i="1"/>
  <c r="P91" i="1"/>
  <c r="N91" i="1"/>
  <c r="L91" i="1"/>
  <c r="J91" i="1"/>
  <c r="H91" i="1"/>
  <c r="BD90" i="1"/>
  <c r="AW90" i="1"/>
  <c r="AU90" i="1"/>
  <c r="AS90" i="1"/>
  <c r="AT90" i="1" s="1"/>
  <c r="AR90" i="1"/>
  <c r="AP90" i="1"/>
  <c r="AN90" i="1"/>
  <c r="AL90" i="1"/>
  <c r="AJ90" i="1"/>
  <c r="AH90" i="1"/>
  <c r="AF90" i="1"/>
  <c r="AD90" i="1"/>
  <c r="AB90" i="1"/>
  <c r="Z90" i="1"/>
  <c r="X90" i="1"/>
  <c r="V90" i="1"/>
  <c r="T90" i="1"/>
  <c r="R90" i="1"/>
  <c r="P90" i="1"/>
  <c r="N90" i="1"/>
  <c r="L90" i="1"/>
  <c r="J90" i="1"/>
  <c r="H90" i="1"/>
  <c r="BD89" i="1"/>
  <c r="AX89" i="1"/>
  <c r="AU89" i="1"/>
  <c r="AV89" i="1" s="1"/>
  <c r="AT89" i="1"/>
  <c r="AR89" i="1"/>
  <c r="AP89" i="1"/>
  <c r="AN89" i="1"/>
  <c r="AZ89" i="1" s="1"/>
  <c r="AL89" i="1"/>
  <c r="AJ89" i="1"/>
  <c r="AH89" i="1"/>
  <c r="AF89" i="1"/>
  <c r="AD89" i="1"/>
  <c r="AB89" i="1"/>
  <c r="Z89" i="1"/>
  <c r="X89" i="1"/>
  <c r="V89" i="1"/>
  <c r="T89" i="1"/>
  <c r="R89" i="1"/>
  <c r="P89" i="1"/>
  <c r="N89" i="1"/>
  <c r="L89" i="1"/>
  <c r="J89" i="1"/>
  <c r="H89" i="1"/>
  <c r="BD86" i="1"/>
  <c r="BD88" i="1" s="1"/>
  <c r="BD85" i="1"/>
  <c r="AW85" i="1"/>
  <c r="AS85" i="1"/>
  <c r="AT85" i="1" s="1"/>
  <c r="AR85" i="1"/>
  <c r="AP85" i="1"/>
  <c r="AN85" i="1"/>
  <c r="AL85" i="1"/>
  <c r="AJ85" i="1"/>
  <c r="AH85" i="1"/>
  <c r="AF85" i="1"/>
  <c r="AD85" i="1"/>
  <c r="AB85" i="1"/>
  <c r="Z85" i="1"/>
  <c r="X85" i="1"/>
  <c r="V85" i="1"/>
  <c r="T85" i="1"/>
  <c r="R85" i="1"/>
  <c r="P85" i="1"/>
  <c r="N85" i="1"/>
  <c r="L85" i="1"/>
  <c r="J85" i="1"/>
  <c r="H85" i="1"/>
  <c r="BD84" i="1"/>
  <c r="AZ84" i="1"/>
  <c r="AT84" i="1"/>
  <c r="AR84" i="1"/>
  <c r="AP84" i="1"/>
  <c r="AN84" i="1"/>
  <c r="AL84" i="1"/>
  <c r="AJ84" i="1"/>
  <c r="AH84" i="1"/>
  <c r="AF84" i="1"/>
  <c r="AD84" i="1"/>
  <c r="AB84" i="1"/>
  <c r="Z84" i="1"/>
  <c r="X84" i="1"/>
  <c r="V84" i="1"/>
  <c r="T84" i="1"/>
  <c r="R84" i="1"/>
  <c r="P84" i="1"/>
  <c r="N84" i="1"/>
  <c r="L84" i="1"/>
  <c r="J84" i="1"/>
  <c r="H84" i="1"/>
  <c r="BD83" i="1"/>
  <c r="AW83" i="1"/>
  <c r="AS83" i="1"/>
  <c r="AT83" i="1" s="1"/>
  <c r="AR83" i="1"/>
  <c r="AP83" i="1"/>
  <c r="AN83" i="1"/>
  <c r="AL83" i="1"/>
  <c r="AJ83" i="1"/>
  <c r="AH83" i="1"/>
  <c r="AF83" i="1"/>
  <c r="AD83" i="1"/>
  <c r="AB83" i="1"/>
  <c r="Z83" i="1"/>
  <c r="X83" i="1"/>
  <c r="V83" i="1"/>
  <c r="T83" i="1"/>
  <c r="R83" i="1"/>
  <c r="P83" i="1"/>
  <c r="N83" i="1"/>
  <c r="L83" i="1"/>
  <c r="J83" i="1"/>
  <c r="AZ83" i="1" s="1"/>
  <c r="BD82" i="1"/>
  <c r="AZ82" i="1"/>
  <c r="AT82" i="1"/>
  <c r="AR82" i="1"/>
  <c r="AP82" i="1"/>
  <c r="AN82" i="1"/>
  <c r="AL82" i="1"/>
  <c r="AJ82" i="1"/>
  <c r="AH82" i="1"/>
  <c r="AF82" i="1"/>
  <c r="AD82" i="1"/>
  <c r="AB82" i="1"/>
  <c r="Z82" i="1"/>
  <c r="X82" i="1"/>
  <c r="V82" i="1"/>
  <c r="T82" i="1"/>
  <c r="R82" i="1"/>
  <c r="P82" i="1"/>
  <c r="N82" i="1"/>
  <c r="L82" i="1"/>
  <c r="J82" i="1"/>
  <c r="BD81" i="1"/>
  <c r="AW81" i="1"/>
  <c r="AS81" i="1"/>
  <c r="AT81" i="1" s="1"/>
  <c r="AR81" i="1"/>
  <c r="AP81" i="1"/>
  <c r="AN81" i="1"/>
  <c r="AL81" i="1"/>
  <c r="AJ81" i="1"/>
  <c r="AH81" i="1"/>
  <c r="AF81" i="1"/>
  <c r="AD81" i="1"/>
  <c r="AB81" i="1"/>
  <c r="Z81" i="1"/>
  <c r="X81" i="1"/>
  <c r="V81" i="1"/>
  <c r="T81" i="1"/>
  <c r="R81" i="1"/>
  <c r="P81" i="1"/>
  <c r="N81" i="1"/>
  <c r="L81" i="1"/>
  <c r="J81" i="1"/>
  <c r="H81" i="1"/>
  <c r="BD80" i="1"/>
  <c r="AT80" i="1"/>
  <c r="AR80" i="1"/>
  <c r="AP80" i="1"/>
  <c r="AN80" i="1"/>
  <c r="AZ80" i="1" s="1"/>
  <c r="AL80" i="1"/>
  <c r="AJ80" i="1"/>
  <c r="AH80" i="1"/>
  <c r="AF80" i="1"/>
  <c r="AD80" i="1"/>
  <c r="AB80" i="1"/>
  <c r="Z80" i="1"/>
  <c r="X80" i="1"/>
  <c r="V80" i="1"/>
  <c r="T80" i="1"/>
  <c r="R80" i="1"/>
  <c r="P80" i="1"/>
  <c r="N80" i="1"/>
  <c r="L80" i="1"/>
  <c r="J80" i="1"/>
  <c r="H80" i="1"/>
  <c r="BD79" i="1"/>
  <c r="AW79" i="1"/>
  <c r="AS79" i="1"/>
  <c r="AT79" i="1" s="1"/>
  <c r="AR79" i="1"/>
  <c r="AP79" i="1"/>
  <c r="AN79" i="1"/>
  <c r="AL79" i="1"/>
  <c r="AJ79" i="1"/>
  <c r="AH79" i="1"/>
  <c r="AF79" i="1"/>
  <c r="AD79" i="1"/>
  <c r="AB79" i="1"/>
  <c r="Z79" i="1"/>
  <c r="X79" i="1"/>
  <c r="V79" i="1"/>
  <c r="T79" i="1"/>
  <c r="R79" i="1"/>
  <c r="P79" i="1"/>
  <c r="N79" i="1"/>
  <c r="L79" i="1"/>
  <c r="J79" i="1"/>
  <c r="H79" i="1"/>
  <c r="BD78" i="1"/>
  <c r="AZ78" i="1"/>
  <c r="AT78" i="1"/>
  <c r="AR78" i="1"/>
  <c r="AP78" i="1"/>
  <c r="AN78" i="1"/>
  <c r="AL78" i="1"/>
  <c r="AJ78" i="1"/>
  <c r="AH78" i="1"/>
  <c r="AF78" i="1"/>
  <c r="AD78" i="1"/>
  <c r="AB78" i="1"/>
  <c r="Z78" i="1"/>
  <c r="X78" i="1"/>
  <c r="V78" i="1"/>
  <c r="T78" i="1"/>
  <c r="R78" i="1"/>
  <c r="P78" i="1"/>
  <c r="N78" i="1"/>
  <c r="L78" i="1"/>
  <c r="J78" i="1"/>
  <c r="H78" i="1"/>
  <c r="BD77" i="1"/>
  <c r="AW77" i="1"/>
  <c r="AS77" i="1"/>
  <c r="AT77" i="1" s="1"/>
  <c r="AR77" i="1"/>
  <c r="AP77" i="1"/>
  <c r="AN77" i="1"/>
  <c r="AL77" i="1"/>
  <c r="AJ77" i="1"/>
  <c r="AH77" i="1"/>
  <c r="AF77" i="1"/>
  <c r="AD77" i="1"/>
  <c r="AB77" i="1"/>
  <c r="Z77" i="1"/>
  <c r="X77" i="1"/>
  <c r="V77" i="1"/>
  <c r="T77" i="1"/>
  <c r="R77" i="1"/>
  <c r="P77" i="1"/>
  <c r="N77" i="1"/>
  <c r="L77" i="1"/>
  <c r="J77" i="1"/>
  <c r="AZ77" i="1" s="1"/>
  <c r="H77" i="1"/>
  <c r="BD76" i="1"/>
  <c r="AZ76" i="1"/>
  <c r="AU76" i="1"/>
  <c r="AT76" i="1"/>
  <c r="AR76" i="1"/>
  <c r="AP76" i="1"/>
  <c r="AN76" i="1"/>
  <c r="AL76" i="1"/>
  <c r="AJ76" i="1"/>
  <c r="AH76" i="1"/>
  <c r="AF76" i="1"/>
  <c r="AD76" i="1"/>
  <c r="AB76" i="1"/>
  <c r="Z76" i="1"/>
  <c r="X76" i="1"/>
  <c r="V76" i="1"/>
  <c r="T76" i="1"/>
  <c r="R76" i="1"/>
  <c r="P76" i="1"/>
  <c r="N76" i="1"/>
  <c r="L76" i="1"/>
  <c r="J76" i="1"/>
  <c r="H76" i="1"/>
  <c r="BD75" i="1"/>
  <c r="BD87" i="1" s="1"/>
  <c r="AW75" i="1"/>
  <c r="AU75" i="1"/>
  <c r="AS75" i="1"/>
  <c r="AR75" i="1"/>
  <c r="AP75" i="1"/>
  <c r="AN75" i="1"/>
  <c r="AL75" i="1"/>
  <c r="AJ75" i="1"/>
  <c r="AH75" i="1"/>
  <c r="AF75" i="1"/>
  <c r="AD75" i="1"/>
  <c r="AB75" i="1"/>
  <c r="Z75" i="1"/>
  <c r="X75" i="1"/>
  <c r="V75" i="1"/>
  <c r="T75" i="1"/>
  <c r="R75" i="1"/>
  <c r="P75" i="1"/>
  <c r="N75" i="1"/>
  <c r="L75" i="1"/>
  <c r="J75" i="1"/>
  <c r="H75" i="1"/>
  <c r="BD74" i="1"/>
  <c r="AZ74" i="1"/>
  <c r="AX74" i="1"/>
  <c r="AT74" i="1"/>
  <c r="AR74" i="1"/>
  <c r="AP74" i="1"/>
  <c r="AN74" i="1"/>
  <c r="AL74" i="1"/>
  <c r="AJ74" i="1"/>
  <c r="AH74" i="1"/>
  <c r="AF74" i="1"/>
  <c r="AD74" i="1"/>
  <c r="AB74" i="1"/>
  <c r="Z74" i="1"/>
  <c r="X74" i="1"/>
  <c r="V74" i="1"/>
  <c r="T74" i="1"/>
  <c r="R74" i="1"/>
  <c r="P74" i="1"/>
  <c r="N74" i="1"/>
  <c r="L74" i="1"/>
  <c r="J74" i="1"/>
  <c r="H74" i="1"/>
  <c r="D70" i="1"/>
  <c r="BE69" i="1"/>
  <c r="AW69" i="1"/>
  <c r="AT69" i="1"/>
  <c r="AS69" i="1"/>
  <c r="AR69" i="1"/>
  <c r="AP69" i="1"/>
  <c r="AN69" i="1"/>
  <c r="AZ69" i="1" s="1"/>
  <c r="AL69" i="1"/>
  <c r="AJ69" i="1"/>
  <c r="AH69" i="1"/>
  <c r="AF69" i="1"/>
  <c r="AD69" i="1"/>
  <c r="AB69" i="1"/>
  <c r="Z69" i="1"/>
  <c r="X69" i="1"/>
  <c r="V69" i="1"/>
  <c r="T69" i="1"/>
  <c r="R69" i="1"/>
  <c r="P69" i="1"/>
  <c r="N69" i="1"/>
  <c r="L69" i="1"/>
  <c r="J69" i="1"/>
  <c r="H69" i="1"/>
  <c r="BD68" i="1"/>
  <c r="AT68" i="1"/>
  <c r="AR68" i="1"/>
  <c r="AP68" i="1"/>
  <c r="AN68" i="1"/>
  <c r="AL68" i="1"/>
  <c r="AJ68" i="1"/>
  <c r="AH68" i="1"/>
  <c r="AF68" i="1"/>
  <c r="AD68" i="1"/>
  <c r="AB68" i="1"/>
  <c r="Z68" i="1"/>
  <c r="X68" i="1"/>
  <c r="V68" i="1"/>
  <c r="T68" i="1"/>
  <c r="R68" i="1"/>
  <c r="P68" i="1"/>
  <c r="N68" i="1"/>
  <c r="L68" i="1"/>
  <c r="J68" i="1"/>
  <c r="H68" i="1"/>
  <c r="AW67" i="1"/>
  <c r="AT67" i="1"/>
  <c r="AS67" i="1"/>
  <c r="AR67" i="1"/>
  <c r="AP67" i="1"/>
  <c r="AN67" i="1"/>
  <c r="AL67" i="1"/>
  <c r="AJ67" i="1"/>
  <c r="AH67" i="1"/>
  <c r="AF67" i="1"/>
  <c r="AD67" i="1"/>
  <c r="AB67" i="1"/>
  <c r="Z67" i="1"/>
  <c r="X67" i="1"/>
  <c r="V67" i="1"/>
  <c r="T67" i="1"/>
  <c r="R67" i="1"/>
  <c r="P67" i="1"/>
  <c r="N67" i="1"/>
  <c r="L67" i="1"/>
  <c r="J67" i="1"/>
  <c r="H67" i="1"/>
  <c r="BD66" i="1"/>
  <c r="AT66" i="1"/>
  <c r="AR66" i="1"/>
  <c r="AP66" i="1"/>
  <c r="AN66" i="1"/>
  <c r="AZ66" i="1" s="1"/>
  <c r="AL66" i="1"/>
  <c r="AJ66" i="1"/>
  <c r="AH66" i="1"/>
  <c r="AF66" i="1"/>
  <c r="AD66" i="1"/>
  <c r="AB66" i="1"/>
  <c r="Z66" i="1"/>
  <c r="X66" i="1"/>
  <c r="V66" i="1"/>
  <c r="T66" i="1"/>
  <c r="R66" i="1"/>
  <c r="P66" i="1"/>
  <c r="N66" i="1"/>
  <c r="L66" i="1"/>
  <c r="J66" i="1"/>
  <c r="H66" i="1"/>
  <c r="AW65" i="1"/>
  <c r="AT65" i="1"/>
  <c r="AS65" i="1"/>
  <c r="AR65" i="1"/>
  <c r="AP65" i="1"/>
  <c r="AN65" i="1"/>
  <c r="AL65" i="1"/>
  <c r="AJ65" i="1"/>
  <c r="AH65" i="1"/>
  <c r="AF65" i="1"/>
  <c r="AD65" i="1"/>
  <c r="AB65" i="1"/>
  <c r="Z65" i="1"/>
  <c r="X65" i="1"/>
  <c r="V65" i="1"/>
  <c r="T65" i="1"/>
  <c r="R65" i="1"/>
  <c r="P65" i="1"/>
  <c r="N65" i="1"/>
  <c r="L65" i="1"/>
  <c r="J65" i="1"/>
  <c r="H65" i="1"/>
  <c r="BD64" i="1"/>
  <c r="AT64" i="1"/>
  <c r="AR64" i="1"/>
  <c r="AP64" i="1"/>
  <c r="AN64" i="1"/>
  <c r="AZ64" i="1" s="1"/>
  <c r="AL64" i="1"/>
  <c r="AJ64" i="1"/>
  <c r="AH64" i="1"/>
  <c r="AF64" i="1"/>
  <c r="AD64" i="1"/>
  <c r="AB64" i="1"/>
  <c r="Z64" i="1"/>
  <c r="X64" i="1"/>
  <c r="V64" i="1"/>
  <c r="T64" i="1"/>
  <c r="R64" i="1"/>
  <c r="P64" i="1"/>
  <c r="N64" i="1"/>
  <c r="L64" i="1"/>
  <c r="J64" i="1"/>
  <c r="H64" i="1"/>
  <c r="AW63" i="1"/>
  <c r="AT63" i="1"/>
  <c r="AS63" i="1"/>
  <c r="AR63" i="1"/>
  <c r="AP63" i="1"/>
  <c r="AN63" i="1"/>
  <c r="AZ63" i="1" s="1"/>
  <c r="AL63" i="1"/>
  <c r="AJ63" i="1"/>
  <c r="AH63" i="1"/>
  <c r="AF63" i="1"/>
  <c r="AD63" i="1"/>
  <c r="AB63" i="1"/>
  <c r="Z63" i="1"/>
  <c r="X63" i="1"/>
  <c r="V63" i="1"/>
  <c r="T63" i="1"/>
  <c r="R63" i="1"/>
  <c r="P63" i="1"/>
  <c r="N63" i="1"/>
  <c r="L63" i="1"/>
  <c r="J63" i="1"/>
  <c r="H63" i="1"/>
  <c r="BD62" i="1"/>
  <c r="AT62" i="1"/>
  <c r="AR62" i="1"/>
  <c r="AP62" i="1"/>
  <c r="AN62" i="1"/>
  <c r="AL62" i="1"/>
  <c r="AJ62" i="1"/>
  <c r="AH62" i="1"/>
  <c r="AF62" i="1"/>
  <c r="AD62" i="1"/>
  <c r="AB62" i="1"/>
  <c r="Z62" i="1"/>
  <c r="X62" i="1"/>
  <c r="V62" i="1"/>
  <c r="T62" i="1"/>
  <c r="R62" i="1"/>
  <c r="P62" i="1"/>
  <c r="N62" i="1"/>
  <c r="AZ62" i="1" s="1"/>
  <c r="L62" i="1"/>
  <c r="J62" i="1"/>
  <c r="H62" i="1"/>
  <c r="AW61" i="1"/>
  <c r="AT61" i="1"/>
  <c r="AS61" i="1"/>
  <c r="AR61" i="1"/>
  <c r="AP61" i="1"/>
  <c r="AN61" i="1"/>
  <c r="AZ61" i="1" s="1"/>
  <c r="AL61" i="1"/>
  <c r="AJ61" i="1"/>
  <c r="AH61" i="1"/>
  <c r="AF61" i="1"/>
  <c r="AD61" i="1"/>
  <c r="AB61" i="1"/>
  <c r="Z61" i="1"/>
  <c r="X61" i="1"/>
  <c r="V61" i="1"/>
  <c r="T61" i="1"/>
  <c r="R61" i="1"/>
  <c r="P61" i="1"/>
  <c r="N61" i="1"/>
  <c r="L61" i="1"/>
  <c r="J61" i="1"/>
  <c r="H61" i="1"/>
  <c r="BD60" i="1"/>
  <c r="AT60" i="1"/>
  <c r="AR60" i="1"/>
  <c r="AP60" i="1"/>
  <c r="AN60" i="1"/>
  <c r="AZ60" i="1" s="1"/>
  <c r="AL60" i="1"/>
  <c r="AJ60" i="1"/>
  <c r="AH60" i="1"/>
  <c r="AF60" i="1"/>
  <c r="AD60" i="1"/>
  <c r="AB60" i="1"/>
  <c r="Z60" i="1"/>
  <c r="X60" i="1"/>
  <c r="V60" i="1"/>
  <c r="T60" i="1"/>
  <c r="R60" i="1"/>
  <c r="P60" i="1"/>
  <c r="N60" i="1"/>
  <c r="L60" i="1"/>
  <c r="J60" i="1"/>
  <c r="H60" i="1"/>
  <c r="AW59" i="1"/>
  <c r="AT59" i="1"/>
  <c r="AS59" i="1"/>
  <c r="AR59" i="1"/>
  <c r="AP59" i="1"/>
  <c r="AN59" i="1"/>
  <c r="AZ59" i="1" s="1"/>
  <c r="AL59" i="1"/>
  <c r="AJ59" i="1"/>
  <c r="AH59" i="1"/>
  <c r="AF59" i="1"/>
  <c r="AD59" i="1"/>
  <c r="AB59" i="1"/>
  <c r="Z59" i="1"/>
  <c r="X59" i="1"/>
  <c r="V59" i="1"/>
  <c r="T59" i="1"/>
  <c r="R59" i="1"/>
  <c r="P59" i="1"/>
  <c r="N59" i="1"/>
  <c r="L59" i="1"/>
  <c r="J59" i="1"/>
  <c r="H59" i="1"/>
  <c r="BD58" i="1"/>
  <c r="BD70" i="1" s="1"/>
  <c r="AV58" i="1"/>
  <c r="AU58" i="1"/>
  <c r="AT58" i="1"/>
  <c r="AR58" i="1"/>
  <c r="AP58" i="1"/>
  <c r="AN58" i="1"/>
  <c r="AZ58" i="1" s="1"/>
  <c r="AL58" i="1"/>
  <c r="AJ58" i="1"/>
  <c r="AH58" i="1"/>
  <c r="AF58" i="1"/>
  <c r="AD58" i="1"/>
  <c r="AB58" i="1"/>
  <c r="Z58" i="1"/>
  <c r="X58" i="1"/>
  <c r="V58" i="1"/>
  <c r="T58" i="1"/>
  <c r="R58" i="1"/>
  <c r="P58" i="1"/>
  <c r="N58" i="1"/>
  <c r="L58" i="1"/>
  <c r="J58" i="1"/>
  <c r="H58" i="1"/>
  <c r="BD54" i="1"/>
  <c r="AZ54" i="1"/>
  <c r="AW54" i="1"/>
  <c r="AT54" i="1"/>
  <c r="AS54" i="1"/>
  <c r="AR54" i="1"/>
  <c r="AP54" i="1"/>
  <c r="AN54" i="1"/>
  <c r="AL54" i="1"/>
  <c r="AJ54" i="1"/>
  <c r="AH54" i="1"/>
  <c r="AF54" i="1"/>
  <c r="AD54" i="1"/>
  <c r="AB54" i="1"/>
  <c r="Z54" i="1"/>
  <c r="X54" i="1"/>
  <c r="V54" i="1"/>
  <c r="T54" i="1"/>
  <c r="R54" i="1"/>
  <c r="P54" i="1"/>
  <c r="N54" i="1"/>
  <c r="L54" i="1"/>
  <c r="J54" i="1"/>
  <c r="H54" i="1"/>
  <c r="BD53" i="1"/>
  <c r="AT53" i="1"/>
  <c r="AR53" i="1"/>
  <c r="AP53" i="1"/>
  <c r="AN53" i="1"/>
  <c r="AZ53" i="1" s="1"/>
  <c r="AL53" i="1"/>
  <c r="AJ53" i="1"/>
  <c r="AH53" i="1"/>
  <c r="AF53" i="1"/>
  <c r="AD53" i="1"/>
  <c r="AB53" i="1"/>
  <c r="Z53" i="1"/>
  <c r="X53" i="1"/>
  <c r="V53" i="1"/>
  <c r="T53" i="1"/>
  <c r="R53" i="1"/>
  <c r="P53" i="1"/>
  <c r="N53" i="1"/>
  <c r="L53" i="1"/>
  <c r="J53" i="1"/>
  <c r="H53" i="1"/>
  <c r="D53" i="1"/>
  <c r="D68" i="1" s="1"/>
  <c r="D84" i="1" s="1"/>
  <c r="D99" i="1" s="1"/>
  <c r="D115" i="1" s="1"/>
  <c r="BD52" i="1"/>
  <c r="AZ52" i="1"/>
  <c r="AW52" i="1"/>
  <c r="AT52" i="1"/>
  <c r="AS52" i="1"/>
  <c r="AR52" i="1"/>
  <c r="AP52" i="1"/>
  <c r="AN52" i="1"/>
  <c r="AL52" i="1"/>
  <c r="AJ52" i="1"/>
  <c r="AH52" i="1"/>
  <c r="AF52" i="1"/>
  <c r="AD52" i="1"/>
  <c r="AB52" i="1"/>
  <c r="Z52" i="1"/>
  <c r="X52" i="1"/>
  <c r="V52" i="1"/>
  <c r="T52" i="1"/>
  <c r="R52" i="1"/>
  <c r="P52" i="1"/>
  <c r="N52" i="1"/>
  <c r="L52" i="1"/>
  <c r="J52" i="1"/>
  <c r="H52" i="1"/>
  <c r="BD51" i="1"/>
  <c r="AT51" i="1"/>
  <c r="AR51" i="1"/>
  <c r="AP51" i="1"/>
  <c r="AN51" i="1"/>
  <c r="AZ51" i="1" s="1"/>
  <c r="AL51" i="1"/>
  <c r="AJ51" i="1"/>
  <c r="AH51" i="1"/>
  <c r="AF51" i="1"/>
  <c r="AD51" i="1"/>
  <c r="AB51" i="1"/>
  <c r="Z51" i="1"/>
  <c r="X51" i="1"/>
  <c r="V51" i="1"/>
  <c r="T51" i="1"/>
  <c r="R51" i="1"/>
  <c r="P51" i="1"/>
  <c r="N51" i="1"/>
  <c r="L51" i="1"/>
  <c r="J51" i="1"/>
  <c r="H51" i="1"/>
  <c r="BD50" i="1"/>
  <c r="AZ50" i="1"/>
  <c r="AW50" i="1"/>
  <c r="AT50" i="1"/>
  <c r="AS50" i="1"/>
  <c r="AR50" i="1"/>
  <c r="AP50" i="1"/>
  <c r="AN50" i="1"/>
  <c r="AL50" i="1"/>
  <c r="AJ50" i="1"/>
  <c r="AH50" i="1"/>
  <c r="AF50" i="1"/>
  <c r="AD50" i="1"/>
  <c r="AB50" i="1"/>
  <c r="Z50" i="1"/>
  <c r="X50" i="1"/>
  <c r="V50" i="1"/>
  <c r="T50" i="1"/>
  <c r="R50" i="1"/>
  <c r="P50" i="1"/>
  <c r="N50" i="1"/>
  <c r="L50" i="1"/>
  <c r="J50" i="1"/>
  <c r="H50" i="1"/>
  <c r="BD49" i="1"/>
  <c r="AT49" i="1"/>
  <c r="AR49" i="1"/>
  <c r="AP49" i="1"/>
  <c r="AN49" i="1"/>
  <c r="AZ49" i="1" s="1"/>
  <c r="AL49" i="1"/>
  <c r="AJ49" i="1"/>
  <c r="AH49" i="1"/>
  <c r="AF49" i="1"/>
  <c r="AD49" i="1"/>
  <c r="AB49" i="1"/>
  <c r="Z49" i="1"/>
  <c r="X49" i="1"/>
  <c r="V49" i="1"/>
  <c r="T49" i="1"/>
  <c r="R49" i="1"/>
  <c r="P49" i="1"/>
  <c r="N49" i="1"/>
  <c r="L49" i="1"/>
  <c r="J49" i="1"/>
  <c r="H49" i="1"/>
  <c r="D49" i="1"/>
  <c r="D64" i="1" s="1"/>
  <c r="D80" i="1" s="1"/>
  <c r="D95" i="1" s="1"/>
  <c r="D111" i="1" s="1"/>
  <c r="D124" i="1" s="1"/>
  <c r="D135" i="1" s="1"/>
  <c r="D146" i="1" s="1"/>
  <c r="BD48" i="1"/>
  <c r="AZ48" i="1"/>
  <c r="AW48" i="1"/>
  <c r="AT48" i="1"/>
  <c r="AS48" i="1"/>
  <c r="AR48" i="1"/>
  <c r="AP48" i="1"/>
  <c r="AN48" i="1"/>
  <c r="AL48" i="1"/>
  <c r="AJ48" i="1"/>
  <c r="AH48" i="1"/>
  <c r="AF48" i="1"/>
  <c r="AD48" i="1"/>
  <c r="AB48" i="1"/>
  <c r="Z48" i="1"/>
  <c r="X48" i="1"/>
  <c r="V48" i="1"/>
  <c r="T48" i="1"/>
  <c r="R48" i="1"/>
  <c r="P48" i="1"/>
  <c r="N48" i="1"/>
  <c r="L48" i="1"/>
  <c r="J48" i="1"/>
  <c r="H48" i="1"/>
  <c r="BD47" i="1"/>
  <c r="AT47" i="1"/>
  <c r="AR47" i="1"/>
  <c r="AP47" i="1"/>
  <c r="AN47" i="1"/>
  <c r="AZ47" i="1" s="1"/>
  <c r="AL47" i="1"/>
  <c r="AJ47" i="1"/>
  <c r="AH47" i="1"/>
  <c r="AF47" i="1"/>
  <c r="AD47" i="1"/>
  <c r="AB47" i="1"/>
  <c r="Z47" i="1"/>
  <c r="X47" i="1"/>
  <c r="V47" i="1"/>
  <c r="T47" i="1"/>
  <c r="R47" i="1"/>
  <c r="P47" i="1"/>
  <c r="N47" i="1"/>
  <c r="L47" i="1"/>
  <c r="J47" i="1"/>
  <c r="H47" i="1"/>
  <c r="BD46" i="1"/>
  <c r="AZ46" i="1"/>
  <c r="AW46" i="1"/>
  <c r="AV46" i="1"/>
  <c r="AU46" i="1"/>
  <c r="AT46" i="1"/>
  <c r="AS46" i="1"/>
  <c r="AR46" i="1"/>
  <c r="AP46" i="1"/>
  <c r="AN46" i="1"/>
  <c r="AL46" i="1"/>
  <c r="AJ46" i="1"/>
  <c r="AH46" i="1"/>
  <c r="AF46" i="1"/>
  <c r="AD46" i="1"/>
  <c r="AB46" i="1"/>
  <c r="Z46" i="1"/>
  <c r="X46" i="1"/>
  <c r="V46" i="1"/>
  <c r="T46" i="1"/>
  <c r="R46" i="1"/>
  <c r="P46" i="1"/>
  <c r="N46" i="1"/>
  <c r="L46" i="1"/>
  <c r="J46" i="1"/>
  <c r="H46" i="1"/>
  <c r="BD45" i="1"/>
  <c r="AY45" i="1"/>
  <c r="AX45" i="1"/>
  <c r="AU45" i="1"/>
  <c r="AU60" i="1" s="1"/>
  <c r="AT45" i="1"/>
  <c r="AV45" i="1" s="1"/>
  <c r="AR45" i="1"/>
  <c r="AP45" i="1"/>
  <c r="AN45" i="1"/>
  <c r="AZ45" i="1" s="1"/>
  <c r="AL45" i="1"/>
  <c r="AJ45" i="1"/>
  <c r="AH45" i="1"/>
  <c r="AF45" i="1"/>
  <c r="AD45" i="1"/>
  <c r="AB45" i="1"/>
  <c r="Z45" i="1"/>
  <c r="X45" i="1"/>
  <c r="V45" i="1"/>
  <c r="T45" i="1"/>
  <c r="R45" i="1"/>
  <c r="P45" i="1"/>
  <c r="N45" i="1"/>
  <c r="L45" i="1"/>
  <c r="J45" i="1"/>
  <c r="H45" i="1"/>
  <c r="D45" i="1"/>
  <c r="D60" i="1" s="1"/>
  <c r="D76" i="1" s="1"/>
  <c r="D91" i="1" s="1"/>
  <c r="D107" i="1" s="1"/>
  <c r="D131" i="1" s="1"/>
  <c r="D142" i="1" s="1"/>
  <c r="BD44" i="1"/>
  <c r="BD56" i="1" s="1"/>
  <c r="AZ44" i="1"/>
  <c r="AW44" i="1"/>
  <c r="AV44" i="1"/>
  <c r="AU44" i="1"/>
  <c r="AT44" i="1"/>
  <c r="AS44" i="1"/>
  <c r="AR44" i="1"/>
  <c r="AP44" i="1"/>
  <c r="AN44" i="1"/>
  <c r="AL44" i="1"/>
  <c r="AJ44" i="1"/>
  <c r="AH44" i="1"/>
  <c r="AF44" i="1"/>
  <c r="AD44" i="1"/>
  <c r="AB44" i="1"/>
  <c r="Z44" i="1"/>
  <c r="X44" i="1"/>
  <c r="V44" i="1"/>
  <c r="T44" i="1"/>
  <c r="R44" i="1"/>
  <c r="P44" i="1"/>
  <c r="N44" i="1"/>
  <c r="L44" i="1"/>
  <c r="J44" i="1"/>
  <c r="H44" i="1"/>
  <c r="D44" i="1"/>
  <c r="D59" i="1" s="1"/>
  <c r="D75" i="1" s="1"/>
  <c r="D90" i="1" s="1"/>
  <c r="D106" i="1" s="1"/>
  <c r="D121" i="1" s="1"/>
  <c r="D130" i="1" s="1"/>
  <c r="D141" i="1" s="1"/>
  <c r="BD43" i="1"/>
  <c r="BD55" i="1" s="1"/>
  <c r="BD57" i="1" s="1"/>
  <c r="AY43" i="1"/>
  <c r="AX43" i="1"/>
  <c r="AV43" i="1"/>
  <c r="AT43" i="1"/>
  <c r="AR43" i="1"/>
  <c r="AP43" i="1"/>
  <c r="AN43" i="1"/>
  <c r="AZ43" i="1" s="1"/>
  <c r="AL43" i="1"/>
  <c r="AJ43" i="1"/>
  <c r="AH43" i="1"/>
  <c r="AF43" i="1"/>
  <c r="AD43" i="1"/>
  <c r="AB43" i="1"/>
  <c r="Z43" i="1"/>
  <c r="X43" i="1"/>
  <c r="V43" i="1"/>
  <c r="T43" i="1"/>
  <c r="R43" i="1"/>
  <c r="P43" i="1"/>
  <c r="N43" i="1"/>
  <c r="L43" i="1"/>
  <c r="J43" i="1"/>
  <c r="H43" i="1"/>
  <c r="D40" i="1"/>
  <c r="D39" i="1"/>
  <c r="BE38" i="1"/>
  <c r="BD38" i="1" s="1"/>
  <c r="BC38" i="1"/>
  <c r="AW38" i="1"/>
  <c r="AT38" i="1"/>
  <c r="AS38" i="1"/>
  <c r="AR38" i="1"/>
  <c r="AP38" i="1"/>
  <c r="AN38" i="1"/>
  <c r="AZ38" i="1" s="1"/>
  <c r="AL38" i="1"/>
  <c r="AJ38" i="1"/>
  <c r="AH38" i="1"/>
  <c r="AF38" i="1"/>
  <c r="AD38" i="1"/>
  <c r="AB38" i="1"/>
  <c r="Z38" i="1"/>
  <c r="X38" i="1"/>
  <c r="V38" i="1"/>
  <c r="T38" i="1"/>
  <c r="R38" i="1"/>
  <c r="P38" i="1"/>
  <c r="N38" i="1"/>
  <c r="L38" i="1"/>
  <c r="J38" i="1"/>
  <c r="H38" i="1"/>
  <c r="D38" i="1"/>
  <c r="D54" i="1" s="1"/>
  <c r="D69" i="1" s="1"/>
  <c r="D85" i="1" s="1"/>
  <c r="D100" i="1" s="1"/>
  <c r="D116" i="1" s="1"/>
  <c r="BD37" i="1"/>
  <c r="AT37" i="1"/>
  <c r="AR37" i="1"/>
  <c r="AP37" i="1"/>
  <c r="AN37" i="1"/>
  <c r="AZ37" i="1" s="1"/>
  <c r="AL37" i="1"/>
  <c r="AJ37" i="1"/>
  <c r="AH37" i="1"/>
  <c r="AF37" i="1"/>
  <c r="AD37" i="1"/>
  <c r="AB37" i="1"/>
  <c r="Z37" i="1"/>
  <c r="X37" i="1"/>
  <c r="V37" i="1"/>
  <c r="T37" i="1"/>
  <c r="R37" i="1"/>
  <c r="P37" i="1"/>
  <c r="N37" i="1"/>
  <c r="L37" i="1"/>
  <c r="J37" i="1"/>
  <c r="H37" i="1"/>
  <c r="D37" i="1"/>
  <c r="D43" i="1" s="1"/>
  <c r="D58" i="1" s="1"/>
  <c r="C37" i="1"/>
  <c r="BC36" i="1"/>
  <c r="AZ36" i="1"/>
  <c r="AW36" i="1"/>
  <c r="AT36" i="1"/>
  <c r="AS36" i="1"/>
  <c r="AR36" i="1"/>
  <c r="AP36" i="1"/>
  <c r="AN36" i="1"/>
  <c r="AL36" i="1"/>
  <c r="AJ36" i="1"/>
  <c r="AH36" i="1"/>
  <c r="AF36" i="1"/>
  <c r="AD36" i="1"/>
  <c r="AB36" i="1"/>
  <c r="Z36" i="1"/>
  <c r="X36" i="1"/>
  <c r="V36" i="1"/>
  <c r="T36" i="1"/>
  <c r="R36" i="1"/>
  <c r="P36" i="1"/>
  <c r="N36" i="1"/>
  <c r="L36" i="1"/>
  <c r="J36" i="1"/>
  <c r="H36" i="1"/>
  <c r="D36" i="1"/>
  <c r="D52" i="1" s="1"/>
  <c r="D67" i="1" s="1"/>
  <c r="D83" i="1" s="1"/>
  <c r="D98" i="1" s="1"/>
  <c r="D114" i="1" s="1"/>
  <c r="BD35" i="1"/>
  <c r="BD36" i="1" s="1"/>
  <c r="AT35" i="1"/>
  <c r="AR35" i="1"/>
  <c r="AP35" i="1"/>
  <c r="AN35" i="1"/>
  <c r="AZ35" i="1" s="1"/>
  <c r="AL35" i="1"/>
  <c r="AJ35" i="1"/>
  <c r="AH35" i="1"/>
  <c r="AF35" i="1"/>
  <c r="AD35" i="1"/>
  <c r="AB35" i="1"/>
  <c r="Z35" i="1"/>
  <c r="X35" i="1"/>
  <c r="V35" i="1"/>
  <c r="T35" i="1"/>
  <c r="R35" i="1"/>
  <c r="P35" i="1"/>
  <c r="N35" i="1"/>
  <c r="L35" i="1"/>
  <c r="J35" i="1"/>
  <c r="H35" i="1"/>
  <c r="D35" i="1"/>
  <c r="D51" i="1" s="1"/>
  <c r="D66" i="1" s="1"/>
  <c r="D82" i="1" s="1"/>
  <c r="D97" i="1" s="1"/>
  <c r="D113" i="1" s="1"/>
  <c r="C35" i="1"/>
  <c r="BC34" i="1"/>
  <c r="AW34" i="1"/>
  <c r="AT34" i="1"/>
  <c r="AS34" i="1"/>
  <c r="AR34" i="1"/>
  <c r="AP34" i="1"/>
  <c r="AN34" i="1"/>
  <c r="AZ34" i="1" s="1"/>
  <c r="AL34" i="1"/>
  <c r="AJ34" i="1"/>
  <c r="AH34" i="1"/>
  <c r="AF34" i="1"/>
  <c r="AD34" i="1"/>
  <c r="AB34" i="1"/>
  <c r="Z34" i="1"/>
  <c r="X34" i="1"/>
  <c r="V34" i="1"/>
  <c r="T34" i="1"/>
  <c r="R34" i="1"/>
  <c r="P34" i="1"/>
  <c r="N34" i="1"/>
  <c r="L34" i="1"/>
  <c r="J34" i="1"/>
  <c r="H34" i="1"/>
  <c r="D34" i="1"/>
  <c r="D50" i="1" s="1"/>
  <c r="D65" i="1" s="1"/>
  <c r="D81" i="1" s="1"/>
  <c r="D96" i="1" s="1"/>
  <c r="D112" i="1" s="1"/>
  <c r="D125" i="1" s="1"/>
  <c r="D136" i="1" s="1"/>
  <c r="D147" i="1" s="1"/>
  <c r="BD33" i="1"/>
  <c r="BD34" i="1" s="1"/>
  <c r="AT33" i="1"/>
  <c r="AR33" i="1"/>
  <c r="AP33" i="1"/>
  <c r="AN33" i="1"/>
  <c r="AZ33" i="1" s="1"/>
  <c r="AL33" i="1"/>
  <c r="AJ33" i="1"/>
  <c r="AH33" i="1"/>
  <c r="AF33" i="1"/>
  <c r="AD33" i="1"/>
  <c r="AB33" i="1"/>
  <c r="Z33" i="1"/>
  <c r="X33" i="1"/>
  <c r="V33" i="1"/>
  <c r="T33" i="1"/>
  <c r="R33" i="1"/>
  <c r="P33" i="1"/>
  <c r="N33" i="1"/>
  <c r="L33" i="1"/>
  <c r="J33" i="1"/>
  <c r="H33" i="1"/>
  <c r="D33" i="1"/>
  <c r="C33" i="1"/>
  <c r="BC32" i="1"/>
  <c r="AZ32" i="1"/>
  <c r="AW32" i="1"/>
  <c r="AT32" i="1"/>
  <c r="AS32" i="1"/>
  <c r="AR32" i="1"/>
  <c r="AP32" i="1"/>
  <c r="AN32" i="1"/>
  <c r="AL32" i="1"/>
  <c r="AJ32" i="1"/>
  <c r="AH32" i="1"/>
  <c r="AF32" i="1"/>
  <c r="AD32" i="1"/>
  <c r="AB32" i="1"/>
  <c r="Z32" i="1"/>
  <c r="X32" i="1"/>
  <c r="V32" i="1"/>
  <c r="T32" i="1"/>
  <c r="R32" i="1"/>
  <c r="P32" i="1"/>
  <c r="N32" i="1"/>
  <c r="L32" i="1"/>
  <c r="J32" i="1"/>
  <c r="H32" i="1"/>
  <c r="D32" i="1"/>
  <c r="D48" i="1" s="1"/>
  <c r="D63" i="1" s="1"/>
  <c r="D79" i="1" s="1"/>
  <c r="D94" i="1" s="1"/>
  <c r="D110" i="1" s="1"/>
  <c r="D123" i="1" s="1"/>
  <c r="D134" i="1" s="1"/>
  <c r="D145" i="1" s="1"/>
  <c r="BD31" i="1"/>
  <c r="BD32" i="1" s="1"/>
  <c r="AT31" i="1"/>
  <c r="AR31" i="1"/>
  <c r="AP31" i="1"/>
  <c r="AN31" i="1"/>
  <c r="AZ31" i="1" s="1"/>
  <c r="AL31" i="1"/>
  <c r="AJ31" i="1"/>
  <c r="AH31" i="1"/>
  <c r="AF31" i="1"/>
  <c r="AD31" i="1"/>
  <c r="AB31" i="1"/>
  <c r="Z31" i="1"/>
  <c r="X31" i="1"/>
  <c r="V31" i="1"/>
  <c r="T31" i="1"/>
  <c r="R31" i="1"/>
  <c r="P31" i="1"/>
  <c r="N31" i="1"/>
  <c r="L31" i="1"/>
  <c r="J31" i="1"/>
  <c r="H31" i="1"/>
  <c r="D31" i="1"/>
  <c r="D47" i="1" s="1"/>
  <c r="D62" i="1" s="1"/>
  <c r="D78" i="1" s="1"/>
  <c r="D93" i="1" s="1"/>
  <c r="D109" i="1" s="1"/>
  <c r="D122" i="1" s="1"/>
  <c r="D133" i="1" s="1"/>
  <c r="D144" i="1" s="1"/>
  <c r="C31" i="1"/>
  <c r="BC30" i="1"/>
  <c r="AW30" i="1"/>
  <c r="AT30" i="1"/>
  <c r="AS30" i="1"/>
  <c r="AR30" i="1"/>
  <c r="AP30" i="1"/>
  <c r="AN30" i="1"/>
  <c r="AZ30" i="1" s="1"/>
  <c r="AL30" i="1"/>
  <c r="AJ30" i="1"/>
  <c r="AH30" i="1"/>
  <c r="AF30" i="1"/>
  <c r="AD30" i="1"/>
  <c r="AB30" i="1"/>
  <c r="Z30" i="1"/>
  <c r="X30" i="1"/>
  <c r="V30" i="1"/>
  <c r="T30" i="1"/>
  <c r="R30" i="1"/>
  <c r="P30" i="1"/>
  <c r="N30" i="1"/>
  <c r="L30" i="1"/>
  <c r="J30" i="1"/>
  <c r="H30" i="1"/>
  <c r="D30" i="1"/>
  <c r="D46" i="1" s="1"/>
  <c r="D61" i="1" s="1"/>
  <c r="D77" i="1" s="1"/>
  <c r="D92" i="1" s="1"/>
  <c r="D108" i="1" s="1"/>
  <c r="D132" i="1" s="1"/>
  <c r="D143" i="1" s="1"/>
  <c r="BD29" i="1"/>
  <c r="BD39" i="1" s="1"/>
  <c r="AV29" i="1"/>
  <c r="AU29" i="1"/>
  <c r="AT29" i="1"/>
  <c r="AR29" i="1"/>
  <c r="AP29" i="1"/>
  <c r="AN29" i="1"/>
  <c r="AZ29" i="1" s="1"/>
  <c r="AL29" i="1"/>
  <c r="AJ29" i="1"/>
  <c r="AH29" i="1"/>
  <c r="AF29" i="1"/>
  <c r="AD29" i="1"/>
  <c r="AB29" i="1"/>
  <c r="Z29" i="1"/>
  <c r="X29" i="1"/>
  <c r="V29" i="1"/>
  <c r="T29" i="1"/>
  <c r="R29" i="1"/>
  <c r="P29" i="1"/>
  <c r="N29" i="1"/>
  <c r="L29" i="1"/>
  <c r="J29" i="1"/>
  <c r="H29" i="1"/>
  <c r="D29" i="1"/>
  <c r="C29" i="1"/>
  <c r="BD25" i="1"/>
  <c r="BC25" i="1"/>
  <c r="AW25" i="1"/>
  <c r="AT25" i="1"/>
  <c r="AS25" i="1"/>
  <c r="AR25" i="1"/>
  <c r="AP25" i="1"/>
  <c r="AN25" i="1"/>
  <c r="AZ25" i="1" s="1"/>
  <c r="AL25" i="1"/>
  <c r="AJ25" i="1"/>
  <c r="AH25" i="1"/>
  <c r="AF25" i="1"/>
  <c r="AD25" i="1"/>
  <c r="AB25" i="1"/>
  <c r="Z25" i="1"/>
  <c r="X25" i="1"/>
  <c r="V25" i="1"/>
  <c r="T25" i="1"/>
  <c r="R25" i="1"/>
  <c r="P25" i="1"/>
  <c r="N25" i="1"/>
  <c r="L25" i="1"/>
  <c r="J25" i="1"/>
  <c r="H25" i="1"/>
  <c r="BD24" i="1"/>
  <c r="AT24" i="1"/>
  <c r="AR24" i="1"/>
  <c r="AP24" i="1"/>
  <c r="AN24" i="1"/>
  <c r="AZ24" i="1" s="1"/>
  <c r="AL24" i="1"/>
  <c r="AJ24" i="1"/>
  <c r="AH24" i="1"/>
  <c r="AF24" i="1"/>
  <c r="AD24" i="1"/>
  <c r="AB24" i="1"/>
  <c r="AA24" i="1"/>
  <c r="Z24" i="1"/>
  <c r="X24" i="1"/>
  <c r="V24" i="1"/>
  <c r="T24" i="1"/>
  <c r="R24" i="1"/>
  <c r="P24" i="1"/>
  <c r="N24" i="1"/>
  <c r="L24" i="1"/>
  <c r="J24" i="1"/>
  <c r="H24" i="1"/>
  <c r="BD23" i="1"/>
  <c r="BC23" i="1"/>
  <c r="AW23" i="1"/>
  <c r="AT23" i="1"/>
  <c r="AS23" i="1"/>
  <c r="AR23" i="1"/>
  <c r="AP23" i="1"/>
  <c r="AN23" i="1"/>
  <c r="AZ23" i="1" s="1"/>
  <c r="AL23" i="1"/>
  <c r="AJ23" i="1"/>
  <c r="AH23" i="1"/>
  <c r="AF23" i="1"/>
  <c r="AD23" i="1"/>
  <c r="AB23" i="1"/>
  <c r="Z23" i="1"/>
  <c r="X23" i="1"/>
  <c r="V23" i="1"/>
  <c r="T23" i="1"/>
  <c r="R23" i="1"/>
  <c r="P23" i="1"/>
  <c r="N23" i="1"/>
  <c r="L23" i="1"/>
  <c r="J23" i="1"/>
  <c r="H23" i="1"/>
  <c r="BD22" i="1"/>
  <c r="AT22" i="1"/>
  <c r="AR22" i="1"/>
  <c r="AP22" i="1"/>
  <c r="AN22" i="1"/>
  <c r="AZ22" i="1" s="1"/>
  <c r="AL22" i="1"/>
  <c r="AJ22" i="1"/>
  <c r="AH22" i="1"/>
  <c r="AF22" i="1"/>
  <c r="AD22" i="1"/>
  <c r="AB22" i="1"/>
  <c r="Z22" i="1"/>
  <c r="X22" i="1"/>
  <c r="V22" i="1"/>
  <c r="T22" i="1"/>
  <c r="R22" i="1"/>
  <c r="P22" i="1"/>
  <c r="N22" i="1"/>
  <c r="L22" i="1"/>
  <c r="J22" i="1"/>
  <c r="H22" i="1"/>
  <c r="BD21" i="1"/>
  <c r="BC21" i="1"/>
  <c r="AW21" i="1"/>
  <c r="AS21" i="1"/>
  <c r="AT21" i="1" s="1"/>
  <c r="AR21" i="1"/>
  <c r="AP21" i="1"/>
  <c r="AN21" i="1"/>
  <c r="AL21" i="1"/>
  <c r="AJ21" i="1"/>
  <c r="AH21" i="1"/>
  <c r="AF21" i="1"/>
  <c r="AD21" i="1"/>
  <c r="AB21" i="1"/>
  <c r="Z21" i="1"/>
  <c r="X21" i="1"/>
  <c r="V21" i="1"/>
  <c r="T21" i="1"/>
  <c r="R21" i="1"/>
  <c r="P21" i="1"/>
  <c r="N21" i="1"/>
  <c r="L21" i="1"/>
  <c r="J21" i="1"/>
  <c r="AZ21" i="1" s="1"/>
  <c r="H21" i="1"/>
  <c r="BD20" i="1"/>
  <c r="AT20" i="1"/>
  <c r="AR20" i="1"/>
  <c r="AP20" i="1"/>
  <c r="AN20" i="1"/>
  <c r="AZ20" i="1" s="1"/>
  <c r="AL20" i="1"/>
  <c r="AJ20" i="1"/>
  <c r="AH20" i="1"/>
  <c r="AF20" i="1"/>
  <c r="AD20" i="1"/>
  <c r="AB20" i="1"/>
  <c r="AA20" i="1"/>
  <c r="Z20" i="1"/>
  <c r="X20" i="1"/>
  <c r="V20" i="1"/>
  <c r="T20" i="1"/>
  <c r="R20" i="1"/>
  <c r="P20" i="1"/>
  <c r="N20" i="1"/>
  <c r="L20" i="1"/>
  <c r="J20" i="1"/>
  <c r="H20" i="1"/>
  <c r="BD19" i="1"/>
  <c r="BC19" i="1"/>
  <c r="AW19" i="1"/>
  <c r="AU19" i="1"/>
  <c r="AS19" i="1"/>
  <c r="AR19" i="1"/>
  <c r="AP19" i="1"/>
  <c r="AN19" i="1"/>
  <c r="AL19" i="1"/>
  <c r="AJ19" i="1"/>
  <c r="AH19" i="1"/>
  <c r="AF19" i="1"/>
  <c r="AD19" i="1"/>
  <c r="AB19" i="1"/>
  <c r="Z19" i="1"/>
  <c r="X19" i="1"/>
  <c r="V19" i="1"/>
  <c r="T19" i="1"/>
  <c r="R19" i="1"/>
  <c r="P19" i="1"/>
  <c r="N19" i="1"/>
  <c r="L19" i="1"/>
  <c r="J19" i="1"/>
  <c r="AZ19" i="1" s="1"/>
  <c r="H19" i="1"/>
  <c r="BD18" i="1"/>
  <c r="AY18" i="1"/>
  <c r="AX18" i="1"/>
  <c r="AU18" i="1"/>
  <c r="AU31" i="1" s="1"/>
  <c r="AT18" i="1"/>
  <c r="AV18" i="1" s="1"/>
  <c r="AR18" i="1"/>
  <c r="AP18" i="1"/>
  <c r="AN18" i="1"/>
  <c r="AZ18" i="1" s="1"/>
  <c r="AL18" i="1"/>
  <c r="AJ18" i="1"/>
  <c r="AH18" i="1"/>
  <c r="AF18" i="1"/>
  <c r="AD18" i="1"/>
  <c r="AB18" i="1"/>
  <c r="AA18" i="1"/>
  <c r="Z18" i="1"/>
  <c r="X18" i="1"/>
  <c r="V18" i="1"/>
  <c r="T18" i="1"/>
  <c r="R18" i="1"/>
  <c r="P18" i="1"/>
  <c r="N18" i="1"/>
  <c r="L18" i="1"/>
  <c r="J18" i="1"/>
  <c r="H18" i="1"/>
  <c r="BD17" i="1"/>
  <c r="BD27" i="1" s="1"/>
  <c r="BC17" i="1"/>
  <c r="AW17" i="1"/>
  <c r="AU17" i="1"/>
  <c r="AS17" i="1"/>
  <c r="AR17" i="1"/>
  <c r="AP17" i="1"/>
  <c r="AN17" i="1"/>
  <c r="AL17" i="1"/>
  <c r="AJ17" i="1"/>
  <c r="AH17" i="1"/>
  <c r="AF17" i="1"/>
  <c r="AD17" i="1"/>
  <c r="AB17" i="1"/>
  <c r="Z17" i="1"/>
  <c r="X17" i="1"/>
  <c r="V17" i="1"/>
  <c r="T17" i="1"/>
  <c r="R17" i="1"/>
  <c r="P17" i="1"/>
  <c r="N17" i="1"/>
  <c r="AZ17" i="1" s="1"/>
  <c r="L17" i="1"/>
  <c r="J17" i="1"/>
  <c r="H17" i="1"/>
  <c r="BD16" i="1"/>
  <c r="BD26" i="1" s="1"/>
  <c r="BD28" i="1" s="1"/>
  <c r="AY16" i="1"/>
  <c r="AX16" i="1"/>
  <c r="AV16" i="1"/>
  <c r="AT16" i="1"/>
  <c r="AR16" i="1"/>
  <c r="AP16" i="1"/>
  <c r="AN16" i="1"/>
  <c r="AZ16" i="1" s="1"/>
  <c r="AL16" i="1"/>
  <c r="AJ16" i="1"/>
  <c r="AH16" i="1"/>
  <c r="AF16" i="1"/>
  <c r="AD16" i="1"/>
  <c r="AB16" i="1"/>
  <c r="Z16" i="1"/>
  <c r="X16" i="1"/>
  <c r="V16" i="1"/>
  <c r="T16" i="1"/>
  <c r="R16" i="1"/>
  <c r="P16" i="1"/>
  <c r="N16" i="1"/>
  <c r="L16" i="1"/>
  <c r="J16" i="1"/>
  <c r="H16" i="1"/>
  <c r="R15" i="1"/>
  <c r="V15" i="1" s="1"/>
  <c r="Z15" i="1" s="1"/>
  <c r="AD15" i="1" s="1"/>
  <c r="AH15" i="1" s="1"/>
  <c r="AL15" i="1" s="1"/>
  <c r="AP15" i="1" s="1"/>
  <c r="P15" i="1"/>
  <c r="T15" i="1" s="1"/>
  <c r="X15" i="1" s="1"/>
  <c r="AB15" i="1" s="1"/>
  <c r="AF15" i="1" s="1"/>
  <c r="AJ15" i="1" s="1"/>
  <c r="AN15" i="1" s="1"/>
  <c r="AR15" i="1" s="1"/>
  <c r="O15" i="1"/>
  <c r="S15" i="1" s="1"/>
  <c r="W15" i="1" s="1"/>
  <c r="AA15" i="1" s="1"/>
  <c r="AE15" i="1" s="1"/>
  <c r="AI15" i="1" s="1"/>
  <c r="AM15" i="1" s="1"/>
  <c r="AQ15" i="1" s="1"/>
  <c r="M15" i="1"/>
  <c r="Q15" i="1" s="1"/>
  <c r="U15" i="1" s="1"/>
  <c r="Y15" i="1" s="1"/>
  <c r="AC15" i="1" s="1"/>
  <c r="AG15" i="1" s="1"/>
  <c r="AK15" i="1" s="1"/>
  <c r="AO15" i="1" s="1"/>
  <c r="O14" i="1"/>
  <c r="S14" i="1" s="1"/>
  <c r="W14" i="1" s="1"/>
  <c r="AA14" i="1" s="1"/>
  <c r="AE14" i="1" s="1"/>
  <c r="AI14" i="1" s="1"/>
  <c r="AM14" i="1" s="1"/>
  <c r="AQ14" i="1" s="1"/>
  <c r="M14" i="1"/>
  <c r="Q14" i="1" s="1"/>
  <c r="U14" i="1" s="1"/>
  <c r="Y14" i="1" s="1"/>
  <c r="AC14" i="1" s="1"/>
  <c r="AG14" i="1" s="1"/>
  <c r="AK14" i="1" s="1"/>
  <c r="AO14" i="1" s="1"/>
  <c r="G10" i="1"/>
  <c r="E9" i="1"/>
  <c r="C8" i="1"/>
  <c r="C9" i="1" s="1"/>
  <c r="G9" i="1" s="1"/>
  <c r="G7" i="1"/>
  <c r="E7" i="1"/>
  <c r="D71" i="1" l="1"/>
  <c r="D74" i="1"/>
  <c r="D89" i="1" s="1"/>
  <c r="D105" i="1" s="1"/>
  <c r="D120" i="1" s="1"/>
  <c r="D129" i="1" s="1"/>
  <c r="D140" i="1" s="1"/>
  <c r="AY60" i="1"/>
  <c r="AU61" i="1"/>
  <c r="AX60" i="1"/>
  <c r="AV60" i="1"/>
  <c r="AY46" i="1"/>
  <c r="AV19" i="1"/>
  <c r="AU32" i="1"/>
  <c r="AX31" i="1"/>
  <c r="AY31" i="1"/>
  <c r="AV31" i="1"/>
  <c r="AY19" i="1"/>
  <c r="BD67" i="1"/>
  <c r="G8" i="1"/>
  <c r="AT17" i="1"/>
  <c r="AV17" i="1" s="1"/>
  <c r="AX17" i="1"/>
  <c r="AY17" i="1" s="1"/>
  <c r="AT19" i="1"/>
  <c r="AX19" i="1"/>
  <c r="AU20" i="1"/>
  <c r="AX29" i="1"/>
  <c r="AY29" i="1" s="1"/>
  <c r="AU30" i="1"/>
  <c r="AU47" i="1"/>
  <c r="AX58" i="1"/>
  <c r="AY58" i="1" s="1"/>
  <c r="AU59" i="1"/>
  <c r="BD59" i="1"/>
  <c r="BD65" i="1"/>
  <c r="BD69" i="1"/>
  <c r="AY74" i="1"/>
  <c r="AV74" i="1"/>
  <c r="AZ75" i="1"/>
  <c r="AT75" i="1"/>
  <c r="AV75" i="1" s="1"/>
  <c r="AZ81" i="1"/>
  <c r="BD102" i="1"/>
  <c r="BD103" i="1" s="1"/>
  <c r="AZ92" i="1"/>
  <c r="AU143" i="1"/>
  <c r="AX141" i="1"/>
  <c r="BD30" i="1"/>
  <c r="BD40" i="1" s="1"/>
  <c r="BD41" i="1" s="1"/>
  <c r="AX44" i="1"/>
  <c r="AY44" i="1" s="1"/>
  <c r="AX46" i="1"/>
  <c r="BD61" i="1"/>
  <c r="BD63" i="1"/>
  <c r="AZ67" i="1"/>
  <c r="AZ68" i="1"/>
  <c r="AY76" i="1"/>
  <c r="AU91" i="1"/>
  <c r="AU77" i="1"/>
  <c r="AX76" i="1"/>
  <c r="AV76" i="1"/>
  <c r="AZ79" i="1"/>
  <c r="AZ85" i="1"/>
  <c r="AZ90" i="1"/>
  <c r="AX90" i="1"/>
  <c r="AY90" i="1" s="1"/>
  <c r="AV90" i="1"/>
  <c r="AZ65" i="1"/>
  <c r="AZ96" i="1"/>
  <c r="AZ100" i="1"/>
  <c r="AV106" i="1"/>
  <c r="AX106" i="1"/>
  <c r="AY106" i="1" s="1"/>
  <c r="AV111" i="1"/>
  <c r="AY111" i="1"/>
  <c r="AU112" i="1"/>
  <c r="AX111" i="1"/>
  <c r="AU113" i="1"/>
  <c r="BD124" i="1"/>
  <c r="BD125" i="1" s="1"/>
  <c r="AX75" i="1"/>
  <c r="AY75" i="1" s="1"/>
  <c r="AY89" i="1"/>
  <c r="AZ114" i="1"/>
  <c r="AS142" i="1"/>
  <c r="AT142" i="1" s="1"/>
  <c r="AS141" i="1"/>
  <c r="AT140" i="1"/>
  <c r="BD138" i="1"/>
  <c r="BD139" i="1" s="1"/>
  <c r="AV140" i="1"/>
  <c r="BD141" i="1"/>
  <c r="BD118" i="1"/>
  <c r="AV109" i="1"/>
  <c r="AU110" i="1"/>
  <c r="AX109" i="1"/>
  <c r="AY109" i="1" s="1"/>
  <c r="BD121" i="1"/>
  <c r="AU132" i="1"/>
  <c r="AX130" i="1"/>
  <c r="AZ106" i="1"/>
  <c r="AY107" i="1"/>
  <c r="AZ108" i="1"/>
  <c r="AU108" i="1"/>
  <c r="AZ116" i="1"/>
  <c r="AY121" i="1"/>
  <c r="AZ122" i="1"/>
  <c r="AU125" i="1"/>
  <c r="AX124" i="1"/>
  <c r="AY124" i="1" s="1"/>
  <c r="AV124" i="1"/>
  <c r="AX131" i="1"/>
  <c r="AY131" i="1" s="1"/>
  <c r="BD148" i="1"/>
  <c r="BD147" i="1"/>
  <c r="AV122" i="1"/>
  <c r="AU133" i="1"/>
  <c r="AX122" i="1"/>
  <c r="AY122" i="1" s="1"/>
  <c r="AU123" i="1"/>
  <c r="AT130" i="1"/>
  <c r="AV130" i="1" s="1"/>
  <c r="AS132" i="1"/>
  <c r="AT132" i="1" s="1"/>
  <c r="AU142" i="1"/>
  <c r="AX140" i="1"/>
  <c r="AY140" i="1" s="1"/>
  <c r="BA29" i="1" l="1"/>
  <c r="BB29" i="1" s="1"/>
  <c r="BA75" i="1"/>
  <c r="BB75" i="1" s="1"/>
  <c r="BA130" i="1"/>
  <c r="BB130" i="1" s="1"/>
  <c r="BA44" i="1"/>
  <c r="BB44" i="1" s="1"/>
  <c r="AX125" i="1"/>
  <c r="AY125" i="1" s="1"/>
  <c r="AV125" i="1"/>
  <c r="AX132" i="1"/>
  <c r="AY132" i="1" s="1"/>
  <c r="AV132" i="1"/>
  <c r="AV113" i="1"/>
  <c r="AY113" i="1"/>
  <c r="AU114" i="1"/>
  <c r="AX113" i="1"/>
  <c r="AU115" i="1"/>
  <c r="AU48" i="1"/>
  <c r="AX47" i="1"/>
  <c r="AV47" i="1"/>
  <c r="AY47" i="1"/>
  <c r="AU62" i="1"/>
  <c r="AU49" i="1"/>
  <c r="H124" i="1"/>
  <c r="H122" i="1"/>
  <c r="H114" i="1"/>
  <c r="H145" i="1"/>
  <c r="H134" i="1"/>
  <c r="H147" i="1"/>
  <c r="H146" i="1"/>
  <c r="H144" i="1"/>
  <c r="H136" i="1"/>
  <c r="H135" i="1"/>
  <c r="H133" i="1"/>
  <c r="H125" i="1"/>
  <c r="H123" i="1"/>
  <c r="H98" i="1"/>
  <c r="H113" i="1"/>
  <c r="BA113" i="1" s="1"/>
  <c r="BB113" i="1" s="1"/>
  <c r="H97" i="1"/>
  <c r="H83" i="1"/>
  <c r="H82" i="1"/>
  <c r="AY123" i="1"/>
  <c r="AX123" i="1"/>
  <c r="AV123" i="1"/>
  <c r="AX108" i="1"/>
  <c r="AY108" i="1" s="1"/>
  <c r="AV108" i="1"/>
  <c r="AY130" i="1"/>
  <c r="AX110" i="1"/>
  <c r="AY110" i="1" s="1"/>
  <c r="AV110" i="1"/>
  <c r="BD71" i="1"/>
  <c r="BD72" i="1" s="1"/>
  <c r="AX30" i="1"/>
  <c r="AY30" i="1" s="1"/>
  <c r="AV30" i="1"/>
  <c r="AX142" i="1"/>
  <c r="AY142" i="1"/>
  <c r="AV142" i="1"/>
  <c r="BD126" i="1"/>
  <c r="BD149" i="1"/>
  <c r="BD150" i="1" s="1"/>
  <c r="AS143" i="1"/>
  <c r="AT143" i="1" s="1"/>
  <c r="AT141" i="1"/>
  <c r="AV141" i="1" s="1"/>
  <c r="AX112" i="1"/>
  <c r="AY112" i="1" s="1"/>
  <c r="AV112" i="1"/>
  <c r="AV77" i="1"/>
  <c r="AX77" i="1"/>
  <c r="AY77" i="1" s="1"/>
  <c r="AX143" i="1"/>
  <c r="AY143" i="1" s="1"/>
  <c r="AV143" i="1"/>
  <c r="AV59" i="1"/>
  <c r="AX59" i="1"/>
  <c r="AY59" i="1" s="1"/>
  <c r="AV61" i="1"/>
  <c r="AX61" i="1"/>
  <c r="AY61" i="1" s="1"/>
  <c r="AY133" i="1"/>
  <c r="AV133" i="1"/>
  <c r="AU144" i="1"/>
  <c r="AU135" i="1"/>
  <c r="AU134" i="1"/>
  <c r="AX133" i="1"/>
  <c r="BD127" i="1"/>
  <c r="AV91" i="1"/>
  <c r="AY91" i="1"/>
  <c r="AX91" i="1"/>
  <c r="AU92" i="1"/>
  <c r="AU78" i="1"/>
  <c r="BA140" i="1"/>
  <c r="BB140" i="1" s="1"/>
  <c r="AU33" i="1"/>
  <c r="AX20" i="1"/>
  <c r="AY20" i="1" s="1"/>
  <c r="AU21" i="1"/>
  <c r="AV20" i="1"/>
  <c r="AU22" i="1"/>
  <c r="AX32" i="1"/>
  <c r="AY32" i="1" s="1"/>
  <c r="AV32" i="1"/>
  <c r="G11" i="1"/>
  <c r="BA131" i="1" s="1"/>
  <c r="BB131" i="1" s="1"/>
  <c r="BA60" i="1"/>
  <c r="BB60" i="1" s="1"/>
  <c r="BA20" i="1" l="1"/>
  <c r="BB20" i="1" s="1"/>
  <c r="BA143" i="1"/>
  <c r="BB143" i="1" s="1"/>
  <c r="BA77" i="1"/>
  <c r="BB77" i="1" s="1"/>
  <c r="BA133" i="1"/>
  <c r="BB133" i="1" s="1"/>
  <c r="AU63" i="1"/>
  <c r="AX62" i="1"/>
  <c r="AY62" i="1"/>
  <c r="AV62" i="1"/>
  <c r="BA62" i="1" s="1"/>
  <c r="BB62" i="1" s="1"/>
  <c r="AY48" i="1"/>
  <c r="AX48" i="1"/>
  <c r="AV48" i="1"/>
  <c r="AV21" i="1"/>
  <c r="AX21" i="1"/>
  <c r="AY21" i="1" s="1"/>
  <c r="BA91" i="1"/>
  <c r="BB91" i="1" s="1"/>
  <c r="AU136" i="1"/>
  <c r="AV135" i="1"/>
  <c r="AU146" i="1"/>
  <c r="AY135" i="1"/>
  <c r="BA90" i="1"/>
  <c r="BB90" i="1" s="1"/>
  <c r="BA135" i="1"/>
  <c r="BB135" i="1" s="1"/>
  <c r="BA122" i="1"/>
  <c r="BB122" i="1" s="1"/>
  <c r="AV115" i="1"/>
  <c r="AY115" i="1"/>
  <c r="AU116" i="1"/>
  <c r="AX115" i="1"/>
  <c r="BA89" i="1"/>
  <c r="BB89" i="1" s="1"/>
  <c r="BA31" i="1"/>
  <c r="BB31" i="1" s="1"/>
  <c r="BA111" i="1"/>
  <c r="BB111" i="1" s="1"/>
  <c r="BA19" i="1"/>
  <c r="BB19" i="1" s="1"/>
  <c r="AX22" i="1"/>
  <c r="AY22" i="1" s="1"/>
  <c r="AU24" i="1"/>
  <c r="AU35" i="1"/>
  <c r="AU23" i="1"/>
  <c r="AV22" i="1"/>
  <c r="AX92" i="1"/>
  <c r="AY92" i="1" s="1"/>
  <c r="AV92" i="1"/>
  <c r="AY144" i="1"/>
  <c r="AV144" i="1"/>
  <c r="BA144" i="1" s="1"/>
  <c r="BB144" i="1" s="1"/>
  <c r="AX144" i="1"/>
  <c r="AU145" i="1"/>
  <c r="BA61" i="1"/>
  <c r="BB61" i="1" s="1"/>
  <c r="BA59" i="1"/>
  <c r="BB59" i="1" s="1"/>
  <c r="BA106" i="1"/>
  <c r="BB106" i="1" s="1"/>
  <c r="AY141" i="1"/>
  <c r="BA141" i="1" s="1"/>
  <c r="BB141" i="1" s="1"/>
  <c r="BA123" i="1"/>
  <c r="BB123" i="1" s="1"/>
  <c r="BA124" i="1"/>
  <c r="BB124" i="1" s="1"/>
  <c r="BA47" i="1"/>
  <c r="BB47" i="1" s="1"/>
  <c r="BA107" i="1"/>
  <c r="BB107" i="1" s="1"/>
  <c r="BA17" i="1"/>
  <c r="BB17" i="1" s="1"/>
  <c r="BA109" i="1"/>
  <c r="BB109" i="1" s="1"/>
  <c r="BA32" i="1"/>
  <c r="BB32" i="1" s="1"/>
  <c r="AY33" i="1"/>
  <c r="AV33" i="1"/>
  <c r="BA33" i="1" s="1"/>
  <c r="BB33" i="1" s="1"/>
  <c r="AU34" i="1"/>
  <c r="AX33" i="1"/>
  <c r="BA142" i="1"/>
  <c r="BB142" i="1" s="1"/>
  <c r="BA30" i="1"/>
  <c r="BB30" i="1" s="1"/>
  <c r="BA125" i="1"/>
  <c r="BB125" i="1" s="1"/>
  <c r="AU50" i="1"/>
  <c r="AX49" i="1"/>
  <c r="AV49" i="1"/>
  <c r="BA49" i="1" s="1"/>
  <c r="BB49" i="1" s="1"/>
  <c r="AU51" i="1"/>
  <c r="AU64" i="1"/>
  <c r="AY49" i="1"/>
  <c r="AX114" i="1"/>
  <c r="AV114" i="1"/>
  <c r="BA114" i="1" s="1"/>
  <c r="BB114" i="1" s="1"/>
  <c r="AY114" i="1"/>
  <c r="BA132" i="1"/>
  <c r="BB132" i="1" s="1"/>
  <c r="BA121" i="1"/>
  <c r="BB121" i="1" s="1"/>
  <c r="BB127" i="1" s="1"/>
  <c r="BA58" i="1"/>
  <c r="BB58" i="1" s="1"/>
  <c r="BA108" i="1"/>
  <c r="BB108" i="1" s="1"/>
  <c r="AV134" i="1"/>
  <c r="AX134" i="1"/>
  <c r="AY134" i="1"/>
  <c r="BA134" i="1" s="1"/>
  <c r="BB134" i="1" s="1"/>
  <c r="BA112" i="1"/>
  <c r="BB112" i="1" s="1"/>
  <c r="BA110" i="1"/>
  <c r="BB110" i="1" s="1"/>
  <c r="BA18" i="1"/>
  <c r="BB18" i="1" s="1"/>
  <c r="BA43" i="1"/>
  <c r="BB43" i="1" s="1"/>
  <c r="BA45" i="1"/>
  <c r="BB45" i="1" s="1"/>
  <c r="BA120" i="1"/>
  <c r="BB120" i="1" s="1"/>
  <c r="BA105" i="1"/>
  <c r="BB105" i="1" s="1"/>
  <c r="BA129" i="1"/>
  <c r="BB129" i="1" s="1"/>
  <c r="BA46" i="1"/>
  <c r="BB46" i="1" s="1"/>
  <c r="BA16" i="1"/>
  <c r="BB16" i="1" s="1"/>
  <c r="BA74" i="1"/>
  <c r="BB74" i="1" s="1"/>
  <c r="AY78" i="1"/>
  <c r="AU93" i="1"/>
  <c r="AU79" i="1"/>
  <c r="AX78" i="1"/>
  <c r="AV78" i="1"/>
  <c r="BA78" i="1" s="1"/>
  <c r="BB78" i="1" s="1"/>
  <c r="AU80" i="1"/>
  <c r="BA76" i="1"/>
  <c r="BB76" i="1" s="1"/>
  <c r="AY80" i="1" l="1"/>
  <c r="AU95" i="1"/>
  <c r="AU81" i="1"/>
  <c r="AX80" i="1"/>
  <c r="AV80" i="1"/>
  <c r="BA80" i="1" s="1"/>
  <c r="BB80" i="1" s="1"/>
  <c r="AU82" i="1"/>
  <c r="AV93" i="1"/>
  <c r="AU94" i="1"/>
  <c r="AX93" i="1"/>
  <c r="AY93" i="1" s="1"/>
  <c r="BB137" i="1"/>
  <c r="AU52" i="1"/>
  <c r="AX51" i="1"/>
  <c r="AV51" i="1"/>
  <c r="AU66" i="1"/>
  <c r="AU53" i="1"/>
  <c r="AY51" i="1"/>
  <c r="BA22" i="1"/>
  <c r="BB22" i="1" s="1"/>
  <c r="AU147" i="1"/>
  <c r="AV146" i="1"/>
  <c r="BA146" i="1" s="1"/>
  <c r="BB146" i="1" s="1"/>
  <c r="BB148" i="1" s="1"/>
  <c r="AY146" i="1"/>
  <c r="AV145" i="1"/>
  <c r="AX145" i="1"/>
  <c r="AY145" i="1"/>
  <c r="AX23" i="1"/>
  <c r="AY23" i="1" s="1"/>
  <c r="AV23" i="1"/>
  <c r="BA115" i="1"/>
  <c r="BB115" i="1" s="1"/>
  <c r="BB117" i="1" s="1"/>
  <c r="BA48" i="1"/>
  <c r="BB48" i="1" s="1"/>
  <c r="AV79" i="1"/>
  <c r="AY79" i="1"/>
  <c r="AX79" i="1"/>
  <c r="D161" i="1"/>
  <c r="H161" i="1" s="1"/>
  <c r="BB126" i="1"/>
  <c r="BB128" i="1" s="1"/>
  <c r="BA92" i="1"/>
  <c r="BB92" i="1" s="1"/>
  <c r="AU36" i="1"/>
  <c r="AX35" i="1"/>
  <c r="AY35" i="1" s="1"/>
  <c r="AV35" i="1"/>
  <c r="AY136" i="1"/>
  <c r="AV136" i="1"/>
  <c r="BA136" i="1" s="1"/>
  <c r="BB136" i="1" s="1"/>
  <c r="BB138" i="1" s="1"/>
  <c r="BA21" i="1"/>
  <c r="BB21" i="1" s="1"/>
  <c r="AU65" i="1"/>
  <c r="AX64" i="1"/>
  <c r="AY64" i="1"/>
  <c r="AV64" i="1"/>
  <c r="AY50" i="1"/>
  <c r="AX50" i="1"/>
  <c r="AV50" i="1"/>
  <c r="BA50" i="1" s="1"/>
  <c r="BB50" i="1" s="1"/>
  <c r="AX34" i="1"/>
  <c r="AY34" i="1" s="1"/>
  <c r="AV34" i="1"/>
  <c r="AU37" i="1"/>
  <c r="AY24" i="1"/>
  <c r="AX24" i="1"/>
  <c r="AU25" i="1"/>
  <c r="AV24" i="1"/>
  <c r="AX116" i="1"/>
  <c r="AV116" i="1"/>
  <c r="AY116" i="1"/>
  <c r="AX63" i="1"/>
  <c r="AY63" i="1" s="1"/>
  <c r="AV63" i="1"/>
  <c r="BA35" i="1" l="1"/>
  <c r="BB35" i="1" s="1"/>
  <c r="BA23" i="1"/>
  <c r="BB23" i="1" s="1"/>
  <c r="BA145" i="1"/>
  <c r="BB145" i="1" s="1"/>
  <c r="AU67" i="1"/>
  <c r="AX66" i="1"/>
  <c r="AY66" i="1" s="1"/>
  <c r="AV66" i="1"/>
  <c r="BA93" i="1"/>
  <c r="BB93" i="1" s="1"/>
  <c r="AV81" i="1"/>
  <c r="AX81" i="1"/>
  <c r="AY81" i="1" s="1"/>
  <c r="BA63" i="1"/>
  <c r="BB63" i="1" s="1"/>
  <c r="BA116" i="1"/>
  <c r="BB116" i="1" s="1"/>
  <c r="BA51" i="1"/>
  <c r="BB51" i="1" s="1"/>
  <c r="AY82" i="1"/>
  <c r="AU97" i="1"/>
  <c r="AU83" i="1"/>
  <c r="AX82" i="1"/>
  <c r="AV82" i="1"/>
  <c r="BA82" i="1" s="1"/>
  <c r="BB82" i="1" s="1"/>
  <c r="AU84" i="1"/>
  <c r="AV95" i="1"/>
  <c r="AY95" i="1"/>
  <c r="AU96" i="1"/>
  <c r="AX95" i="1"/>
  <c r="AV25" i="1"/>
  <c r="AX25" i="1"/>
  <c r="AY25" i="1" s="1"/>
  <c r="BA34" i="1"/>
  <c r="BB34" i="1" s="1"/>
  <c r="AV65" i="1"/>
  <c r="AX65" i="1"/>
  <c r="AY65" i="1" s="1"/>
  <c r="AV36" i="1"/>
  <c r="AX36" i="1"/>
  <c r="AY36" i="1" s="1"/>
  <c r="AX94" i="1"/>
  <c r="AV94" i="1"/>
  <c r="AY94" i="1"/>
  <c r="BA24" i="1"/>
  <c r="BB24" i="1" s="1"/>
  <c r="BB26" i="1" s="1"/>
  <c r="AU38" i="1"/>
  <c r="AX37" i="1"/>
  <c r="AY37" i="1" s="1"/>
  <c r="AV37" i="1"/>
  <c r="BA64" i="1"/>
  <c r="BB64" i="1" s="1"/>
  <c r="BA79" i="1"/>
  <c r="BB79" i="1" s="1"/>
  <c r="AY147" i="1"/>
  <c r="AV147" i="1"/>
  <c r="BA147" i="1" s="1"/>
  <c r="BB147" i="1" s="1"/>
  <c r="AU68" i="1"/>
  <c r="AU54" i="1"/>
  <c r="AX53" i="1"/>
  <c r="AY53" i="1" s="1"/>
  <c r="AV53" i="1"/>
  <c r="AV52" i="1"/>
  <c r="AX52" i="1"/>
  <c r="AY52" i="1" s="1"/>
  <c r="BB139" i="1"/>
  <c r="BA66" i="1" l="1"/>
  <c r="BB66" i="1" s="1"/>
  <c r="BA52" i="1"/>
  <c r="BB52" i="1" s="1"/>
  <c r="BA53" i="1"/>
  <c r="BB53" i="1" s="1"/>
  <c r="BB55" i="1" s="1"/>
  <c r="BA37" i="1"/>
  <c r="BB37" i="1" s="1"/>
  <c r="AV54" i="1"/>
  <c r="AX54" i="1"/>
  <c r="AY54" i="1" s="1"/>
  <c r="AV38" i="1"/>
  <c r="AX38" i="1"/>
  <c r="AY38" i="1" s="1"/>
  <c r="BA94" i="1"/>
  <c r="BB94" i="1" s="1"/>
  <c r="BA36" i="1"/>
  <c r="BB36" i="1" s="1"/>
  <c r="BA65" i="1"/>
  <c r="BB65" i="1" s="1"/>
  <c r="BA25" i="1"/>
  <c r="BB25" i="1" s="1"/>
  <c r="BA95" i="1"/>
  <c r="BB95" i="1" s="1"/>
  <c r="AV83" i="1"/>
  <c r="AY83" i="1"/>
  <c r="AX83" i="1"/>
  <c r="D159" i="1"/>
  <c r="H159" i="1" s="1"/>
  <c r="BB118" i="1"/>
  <c r="BB119" i="1" s="1"/>
  <c r="BA81" i="1"/>
  <c r="BB81" i="1" s="1"/>
  <c r="AV67" i="1"/>
  <c r="AY67" i="1"/>
  <c r="AX67" i="1"/>
  <c r="BB39" i="1"/>
  <c r="AX96" i="1"/>
  <c r="AV96" i="1"/>
  <c r="BA96" i="1" s="1"/>
  <c r="BB96" i="1" s="1"/>
  <c r="AY96" i="1"/>
  <c r="BB149" i="1"/>
  <c r="BB150" i="1" s="1"/>
  <c r="C162" i="1" s="1"/>
  <c r="D162" i="1"/>
  <c r="H162" i="1" s="1"/>
  <c r="BB27" i="1"/>
  <c r="BB28" i="1" s="1"/>
  <c r="B162" i="1"/>
  <c r="AU69" i="1"/>
  <c r="AX68" i="1"/>
  <c r="AY68" i="1" s="1"/>
  <c r="AV68" i="1"/>
  <c r="AY84" i="1"/>
  <c r="AU99" i="1"/>
  <c r="AU85" i="1"/>
  <c r="AX84" i="1"/>
  <c r="AV84" i="1"/>
  <c r="BA84" i="1" s="1"/>
  <c r="BB84" i="1" s="1"/>
  <c r="BB86" i="1" s="1"/>
  <c r="AV97" i="1"/>
  <c r="AY97" i="1"/>
  <c r="AX97" i="1"/>
  <c r="AU98" i="1"/>
  <c r="B157" i="1" l="1"/>
  <c r="AX98" i="1"/>
  <c r="AY98" i="1" s="1"/>
  <c r="AV98" i="1"/>
  <c r="AV85" i="1"/>
  <c r="AX85" i="1"/>
  <c r="AY85" i="1" s="1"/>
  <c r="AV69" i="1"/>
  <c r="AY69" i="1"/>
  <c r="AX69" i="1"/>
  <c r="BA97" i="1"/>
  <c r="BB97" i="1" s="1"/>
  <c r="AV99" i="1"/>
  <c r="AY99" i="1"/>
  <c r="AU100" i="1"/>
  <c r="AX99" i="1"/>
  <c r="BA67" i="1"/>
  <c r="BB67" i="1" s="1"/>
  <c r="BA68" i="1"/>
  <c r="BB68" i="1" s="1"/>
  <c r="BB70" i="1" s="1"/>
  <c r="BB151" i="1"/>
  <c r="BA83" i="1"/>
  <c r="BB83" i="1" s="1"/>
  <c r="BA38" i="1"/>
  <c r="BB38" i="1" s="1"/>
  <c r="BA54" i="1"/>
  <c r="BB54" i="1" s="1"/>
  <c r="BB56" i="1" s="1"/>
  <c r="BB57" i="1" s="1"/>
  <c r="B158" i="1" l="1"/>
  <c r="AX100" i="1"/>
  <c r="AV100" i="1"/>
  <c r="BA100" i="1" s="1"/>
  <c r="BB100" i="1" s="1"/>
  <c r="AY100" i="1"/>
  <c r="BA85" i="1"/>
  <c r="BB85" i="1" s="1"/>
  <c r="BB87" i="1" s="1"/>
  <c r="BB88" i="1" s="1"/>
  <c r="D157" i="1"/>
  <c r="H157" i="1" s="1"/>
  <c r="BB40" i="1"/>
  <c r="BB41" i="1" s="1"/>
  <c r="BA69" i="1"/>
  <c r="BB69" i="1" s="1"/>
  <c r="BB71" i="1" s="1"/>
  <c r="BB72" i="1" s="1"/>
  <c r="BA99" i="1"/>
  <c r="BB99" i="1" s="1"/>
  <c r="BB101" i="1"/>
  <c r="BA98" i="1"/>
  <c r="BB98" i="1" s="1"/>
  <c r="C158" i="1" l="1"/>
  <c r="BB73" i="1"/>
  <c r="B160" i="1"/>
  <c r="BB102" i="1"/>
  <c r="D160" i="1"/>
  <c r="H160" i="1" s="1"/>
  <c r="BB103" i="1"/>
  <c r="C160" i="1" s="1"/>
  <c r="D158" i="1"/>
  <c r="H158" i="1" s="1"/>
  <c r="H163" i="1" s="1"/>
  <c r="C157" i="1"/>
  <c r="BB42" i="1"/>
  <c r="BB1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Mathias Schindler</author>
  </authors>
  <commentList>
    <comment ref="E7" authorId="0" shapeId="0" xr:uid="{8D7147E4-A76C-41B1-ABFA-E882D1B16724}">
      <text>
        <r>
          <rPr>
            <b/>
            <sz val="9"/>
            <color indexed="81"/>
            <rFont val="Segoe UI"/>
            <family val="2"/>
          </rPr>
          <t>Mathias Schindler:</t>
        </r>
        <r>
          <rPr>
            <sz val="9"/>
            <color indexed="81"/>
            <rFont val="Segoe UI"/>
            <family val="2"/>
          </rPr>
          <t xml:space="preserve">
myagrar (16.08.2023): RoundUp Power Flex 10,68 €/l netto, 480 g Wirkstoff/l</t>
        </r>
      </text>
    </comment>
    <comment ref="S129" authorId="0" shapeId="0" xr:uid="{FADC76FA-8E7F-4482-BB31-09B64B640F1D}">
      <text>
        <r>
          <rPr>
            <b/>
            <sz val="9"/>
            <color indexed="81"/>
            <rFont val="Segoe UI"/>
            <family val="2"/>
          </rPr>
          <t>Mathias Schindler:</t>
        </r>
        <r>
          <rPr>
            <sz val="9"/>
            <color indexed="81"/>
            <rFont val="Segoe UI"/>
            <family val="2"/>
          </rPr>
          <t xml:space="preserve">
in 30% der Fälle erforderlich</t>
        </r>
      </text>
    </comment>
    <comment ref="AE129" authorId="0" shapeId="0" xr:uid="{2562696D-E82D-4732-B544-8B0211075860}">
      <text>
        <r>
          <rPr>
            <b/>
            <sz val="9"/>
            <color indexed="81"/>
            <rFont val="Segoe UI"/>
            <family val="2"/>
          </rPr>
          <t>Mathias Schindler:</t>
        </r>
        <r>
          <rPr>
            <sz val="9"/>
            <color indexed="81"/>
            <rFont val="Segoe UI"/>
            <family val="2"/>
          </rPr>
          <t xml:space="preserve">
in 50% der Fälle erforderlich</t>
        </r>
      </text>
    </comment>
    <comment ref="AT129" authorId="0" shapeId="0" xr:uid="{35E21CB7-5398-4248-A2AD-439D71F0E966}">
      <text>
        <r>
          <rPr>
            <b/>
            <sz val="9"/>
            <color indexed="81"/>
            <rFont val="Segoe UI"/>
            <family val="2"/>
          </rPr>
          <t>Mathias Schindler:</t>
        </r>
        <r>
          <rPr>
            <sz val="9"/>
            <color indexed="81"/>
            <rFont val="Segoe UI"/>
            <family val="2"/>
          </rPr>
          <t xml:space="preserve">
Ertragsverlust wegen 10 Tagen Aussaatverzögerung möglich (Prof. 
Märländer)</t>
        </r>
      </text>
    </comment>
  </commentList>
</comments>
</file>

<file path=xl/sharedStrings.xml><?xml version="1.0" encoding="utf-8"?>
<sst xmlns="http://schemas.openxmlformats.org/spreadsheetml/2006/main" count="232" uniqueCount="98">
  <si>
    <t>Grundlagen der Berechnung der Kosten der mechanischen Beikrautregulierung mit und ohne Glyphosateinsatz</t>
  </si>
  <si>
    <t>Die Berechnungsgrundlagen wurden auf Basis der fachlichen Expertise zu Anbausystemen in Niedersachsen der Berater/innen und Referent/innen der LWK Niedersachsen -</t>
  </si>
  <si>
    <t xml:space="preserve">aus den Fachgebieten Pflanzenbau und Pflanzenschutz sowie der Betriebswirtschaft entwickelt. Es besteht keine rechtliche Bindung. </t>
  </si>
  <si>
    <t>Stand: Januar2025</t>
  </si>
  <si>
    <t>Erstellung der Berechnung:  Dr. Mathias Schindler, Landwirtschaftskammer Niedersachsen, FB 3.1  Betriebswirtschaft, Markt, Unternehmensberatung, 
Rückfragen zu diesem Rechenblatt an: mathias.schindler@lwk-niedersachsen.de</t>
  </si>
  <si>
    <t>Glyphosateinsatz</t>
  </si>
  <si>
    <t>Zahl</t>
  </si>
  <si>
    <t>Menge</t>
  </si>
  <si>
    <t>Preis</t>
  </si>
  <si>
    <t>€/ha</t>
  </si>
  <si>
    <t>Die gelb unterlegten Werte werden per Formel errechnet und dürfen nicht überschrieben werden!</t>
  </si>
  <si>
    <t>Literatur:</t>
  </si>
  <si>
    <t>Glyphosateinsatz in D: ca. 5.000 t/J. auf 37% der Ackerfläche; Einsatz zu 70% auf Ackerflächen, 20% in Obst-, Gemüse- und Weinbau</t>
  </si>
  <si>
    <t>Für den Pauschalausgleich wird angenommen, dass die Ersatzmaßnahmen den gleichen Behandlungserfolg haben und keine Ertragseffekte oder qualitätsbedingte Preiseffekte auftreten.
Treten in individuellen lokalen Situationen solche Effekte auf, kann die Kooperation sich auf Ertragseffekte und ggfs. qualitätsbedingte Preiseffekte einigen und in diesen Feldern eintragen.</t>
  </si>
  <si>
    <t>Mittel:</t>
  </si>
  <si>
    <t>Wirkstoff</t>
  </si>
  <si>
    <t>Masch.kosten:</t>
  </si>
  <si>
    <t>Ausbringung</t>
  </si>
  <si>
    <t xml:space="preserve">Lohnanspruch: </t>
  </si>
  <si>
    <t>Die grün unterlegten Werte könnten in Kooperationen durch Überschreiben angepasst werden.</t>
  </si>
  <si>
    <t>Sonstiges:</t>
  </si>
  <si>
    <t>Kosten Glyphosatanwendung</t>
  </si>
  <si>
    <t>Kultur</t>
  </si>
  <si>
    <t>Zwischen-</t>
  </si>
  <si>
    <t>Vorfrucht*</t>
  </si>
  <si>
    <t>Pflugeinsatz</t>
  </si>
  <si>
    <t>Ersatzmittel</t>
  </si>
  <si>
    <t>Pflug</t>
  </si>
  <si>
    <t>Grubber</t>
  </si>
  <si>
    <t>Scheibenegge</t>
  </si>
  <si>
    <t>Striegel</t>
  </si>
  <si>
    <t>Schlegelmulcher</t>
  </si>
  <si>
    <t>Hacke</t>
  </si>
  <si>
    <t>…………….</t>
  </si>
  <si>
    <t>Ertrag</t>
  </si>
  <si>
    <t>Qualitätseffekte</t>
  </si>
  <si>
    <t>Gesamteffekte</t>
  </si>
  <si>
    <t>finanzieller Nachteil bei Glyphosat-verbot</t>
  </si>
  <si>
    <t>Bsp. für: 
Anteile
 Pflug mögl./
 Pflug n.mögl.</t>
  </si>
  <si>
    <t>Bsp. für:
Anteile des
Anbausystems
an Kultur</t>
  </si>
  <si>
    <t>frucht? *</t>
  </si>
  <si>
    <t>möglich? *</t>
  </si>
  <si>
    <t>Name</t>
  </si>
  <si>
    <t>Kosten</t>
  </si>
  <si>
    <t>Ertrag mit</t>
  </si>
  <si>
    <t>Ertrag ohne</t>
  </si>
  <si>
    <t>Preis mit</t>
  </si>
  <si>
    <t>monetärer</t>
  </si>
  <si>
    <t>Preis-</t>
  </si>
  <si>
    <t>Preis ohne</t>
  </si>
  <si>
    <t>mit</t>
  </si>
  <si>
    <t>ohne</t>
  </si>
  <si>
    <t>mit Glyphosat</t>
  </si>
  <si>
    <t>ohne Glyphosat</t>
  </si>
  <si>
    <t>Glyphosat-</t>
  </si>
  <si>
    <t>Effekt</t>
  </si>
  <si>
    <t>abschlag</t>
  </si>
  <si>
    <t>Glyphosat</t>
  </si>
  <si>
    <t>Anzahl</t>
  </si>
  <si>
    <t>Arb.erl.kosten</t>
  </si>
  <si>
    <t>einsatz</t>
  </si>
  <si>
    <t>Kartoffeln</t>
  </si>
  <si>
    <t>ja</t>
  </si>
  <si>
    <t>Mais</t>
  </si>
  <si>
    <t>nein</t>
  </si>
  <si>
    <t>Sommer-
getreide</t>
  </si>
  <si>
    <t>Winter-
getreide</t>
  </si>
  <si>
    <t>Winter-
raps</t>
  </si>
  <si>
    <t>Zucker-
rüben</t>
  </si>
  <si>
    <t>Durch-
schnitt</t>
  </si>
  <si>
    <t>Ø</t>
  </si>
  <si>
    <t>Kartoffeln Ø insgesamt</t>
  </si>
  <si>
    <t>Mais Ø insgesamt</t>
  </si>
  <si>
    <t>Dikotyle</t>
  </si>
  <si>
    <t>Sommergetreide Ø insgesamt</t>
  </si>
  <si>
    <t>Wintergetreide Ø insgesamt</t>
  </si>
  <si>
    <t>Graminizid</t>
  </si>
  <si>
    <t>Winterraps Ø insgesamt</t>
  </si>
  <si>
    <t>Zuckerrüben Ø insgesamt</t>
  </si>
  <si>
    <t>Fiktives Beispiel für Ausgleich in Ø Fruchtfolge (* nur für beantragte Flächen!)</t>
  </si>
  <si>
    <t>Ausgleichsbetrag *</t>
  </si>
  <si>
    <t>fiktives Beispiel für</t>
  </si>
  <si>
    <t>anteiliger</t>
  </si>
  <si>
    <t>mit Zwisch.fr.**</t>
  </si>
  <si>
    <t>ohne Zw.fr.</t>
  </si>
  <si>
    <t>Ø insgesamt</t>
  </si>
  <si>
    <t>Ø Fruchtfolgeanteil</t>
  </si>
  <si>
    <t>Ausgleich</t>
  </si>
  <si>
    <t>Wintergetr.</t>
  </si>
  <si>
    <t>Sommergetr.</t>
  </si>
  <si>
    <t>Winterraps</t>
  </si>
  <si>
    <t>Zuckerrüben</t>
  </si>
  <si>
    <t>Ø für die Fruchtfolge *</t>
  </si>
  <si>
    <t>* In ggf. ausgeblendeten Zeilen und Spalten erfolgen Einzelberechnungen mit/ohne Zwischenfrucht,</t>
  </si>
  <si>
    <t xml:space="preserve">   nach verschiedenen Vorfrüchten und mit/ohne Pflugeinsatzmöglichkeit.</t>
  </si>
  <si>
    <t>** nur Mehraufwand für Aufwuchsbekämpfung</t>
  </si>
  <si>
    <t xml:space="preserve">Rückfragen zum Rechenblatt an: </t>
  </si>
  <si>
    <t>mathias.schindler@lwk-niedersachsen.de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</si>
</sst>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__"/>
    <numFmt numFmtId="165" formatCode="#,##0.0\ &quot;á&quot;"/>
    <numFmt numFmtId="166" formatCode="#,##0\ &quot;g/ha&quot;"/>
    <numFmt numFmtId="167" formatCode="#,##0.00000\ &quot;€/g&quot;"/>
    <numFmt numFmtId="168" formatCode="#,##0.0\ &quot;Arb.gang&quot;"/>
    <numFmt numFmtId="169" formatCode="#,##0.00\ &quot;€/Arb.gang&quot;"/>
    <numFmt numFmtId="170" formatCode="#,##0.00\ &quot;€/AKh&quot;\ "/>
    <numFmt numFmtId="171" formatCode="#,##0.00\ &quot;AKh/ha&quot;"/>
    <numFmt numFmtId="172" formatCode="#,##0.00\ &quot;€/ha&quot;\ "/>
    <numFmt numFmtId="173" formatCode="#,##0.0\ &quot;AKh/ha&quot;"/>
    <numFmt numFmtId="174" formatCode="#,##0.0\ &quot;E./ha&quot;"/>
    <numFmt numFmtId="175" formatCode="#,##0.00\ &quot;€/E.&quot;"/>
    <numFmt numFmtId="176" formatCode="#,##0.0"/>
    <numFmt numFmtId="177" formatCode="0.0"/>
    <numFmt numFmtId="178" formatCode="#,##0.0\ &quot;dt/ha&quot;"/>
    <numFmt numFmtId="179" formatCode="#,##0.00\ &quot;€/dt&quot;\ "/>
    <numFmt numFmtId="180" formatCode="0.0%"/>
    <numFmt numFmtId="181" formatCode="#,##0.00\ &quot;€/ha    &quot;\ "/>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4"/>
      <name val="Arial"/>
      <family val="2"/>
    </font>
    <font>
      <b/>
      <sz val="12"/>
      <name val="Arial"/>
      <family val="2"/>
    </font>
    <font>
      <sz val="12"/>
      <name val="Arial"/>
      <family val="2"/>
    </font>
    <font>
      <b/>
      <sz val="12"/>
      <color theme="1"/>
      <name val="Calibri"/>
      <family val="2"/>
      <scheme val="minor"/>
    </font>
    <font>
      <b/>
      <sz val="11"/>
      <name val="Arial"/>
      <family val="2"/>
    </font>
    <font>
      <b/>
      <sz val="12"/>
      <color theme="0"/>
      <name val="Arial"/>
      <family val="2"/>
    </font>
    <font>
      <sz val="10"/>
      <color theme="0"/>
      <name val="Arial"/>
      <family val="2"/>
    </font>
    <font>
      <sz val="11"/>
      <name val="Arial"/>
      <family val="2"/>
    </font>
    <font>
      <b/>
      <sz val="10"/>
      <name val="Arial"/>
      <family val="2"/>
    </font>
    <font>
      <b/>
      <sz val="11"/>
      <color rgb="FFFF0000"/>
      <name val="Arial"/>
      <family val="2"/>
    </font>
    <font>
      <u/>
      <sz val="12"/>
      <color theme="10"/>
      <name val="Arial"/>
      <family val="2"/>
    </font>
    <font>
      <b/>
      <sz val="9"/>
      <color indexed="81"/>
      <name val="Segoe UI"/>
      <family val="2"/>
    </font>
    <font>
      <sz val="9"/>
      <color indexed="81"/>
      <name val="Segoe U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92D050"/>
        <bgColor indexed="64"/>
      </patternFill>
    </fill>
  </fills>
  <borders count="1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top/>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auto="1"/>
      </left>
      <right style="thin">
        <color auto="1"/>
      </right>
      <top style="medium">
        <color auto="1"/>
      </top>
      <bottom/>
      <diagonal/>
    </border>
    <border>
      <left/>
      <right style="thin">
        <color indexed="64"/>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auto="1"/>
      </top>
      <bottom style="hair">
        <color auto="1"/>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style="hair">
        <color indexed="64"/>
      </left>
      <right style="thin">
        <color indexed="64"/>
      </right>
      <top style="thin">
        <color indexed="64"/>
      </top>
      <bottom style="hair">
        <color indexed="64"/>
      </bottom>
      <diagonal/>
    </border>
    <border>
      <left style="hair">
        <color indexed="64"/>
      </left>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auto="1"/>
      </left>
      <right style="thin">
        <color auto="1"/>
      </right>
      <top style="hair">
        <color indexed="64"/>
      </top>
      <bottom/>
      <diagonal/>
    </border>
    <border>
      <left style="hair">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auto="1"/>
      </left>
      <right style="hair">
        <color auto="1"/>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auto="1"/>
      </left>
      <right style="thin">
        <color auto="1"/>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medium">
        <color auto="1"/>
      </left>
      <right style="thin">
        <color indexed="64"/>
      </right>
      <top style="hair">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auto="1"/>
      </left>
      <right style="medium">
        <color auto="1"/>
      </right>
      <top style="thin">
        <color auto="1"/>
      </top>
      <bottom style="medium">
        <color auto="1"/>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cellStyleXfs>
  <cellXfs count="385">
    <xf numFmtId="0" fontId="0" fillId="0" borderId="0" xfId="0"/>
    <xf numFmtId="0" fontId="4" fillId="0" borderId="0" xfId="3" applyFont="1" applyAlignment="1">
      <alignment horizontal="left" vertical="center"/>
    </xf>
    <xf numFmtId="0" fontId="5" fillId="0" borderId="0" xfId="3" applyFont="1" applyAlignment="1">
      <alignment vertical="center"/>
    </xf>
    <xf numFmtId="0" fontId="6" fillId="0" borderId="0" xfId="3" applyFont="1" applyAlignment="1">
      <alignment vertical="center"/>
    </xf>
    <xf numFmtId="0" fontId="7" fillId="2" borderId="0" xfId="0" applyFont="1" applyFill="1"/>
    <xf numFmtId="0" fontId="5" fillId="0" borderId="0" xfId="3" applyFont="1" applyAlignment="1">
      <alignment horizontal="left" vertical="center" wrapText="1"/>
    </xf>
    <xf numFmtId="0" fontId="5" fillId="0" borderId="1" xfId="3" applyFont="1" applyBorder="1" applyAlignment="1">
      <alignment horizontal="left" vertical="center"/>
    </xf>
    <xf numFmtId="0" fontId="5" fillId="0" borderId="2" xfId="3" applyFont="1" applyBorder="1" applyAlignment="1">
      <alignmen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vertical="center"/>
    </xf>
    <xf numFmtId="0" fontId="8" fillId="0" borderId="2" xfId="3" applyFont="1" applyBorder="1" applyAlignment="1">
      <alignment vertical="center"/>
    </xf>
    <xf numFmtId="164" fontId="8" fillId="0" borderId="6" xfId="3" applyNumberFormat="1" applyFont="1" applyBorder="1" applyAlignment="1">
      <alignment horizontal="center" vertical="center"/>
    </xf>
    <xf numFmtId="0" fontId="3" fillId="0" borderId="0" xfId="3" applyAlignment="1">
      <alignment vertical="center"/>
    </xf>
    <xf numFmtId="0" fontId="5" fillId="3" borderId="0" xfId="3" quotePrefix="1" applyFont="1" applyFill="1" applyAlignment="1">
      <alignment horizontal="center" vertical="center" wrapText="1"/>
    </xf>
    <xf numFmtId="0" fontId="5" fillId="0" borderId="0" xfId="3" applyFont="1" applyAlignment="1">
      <alignment horizontal="center" vertical="center"/>
    </xf>
    <xf numFmtId="0" fontId="9" fillId="0" borderId="0" xfId="4" applyFont="1" applyAlignment="1">
      <alignment vertical="center"/>
    </xf>
    <xf numFmtId="0" fontId="10" fillId="0" borderId="0" xfId="4" applyFont="1" applyAlignment="1">
      <alignment vertical="center"/>
    </xf>
    <xf numFmtId="0" fontId="5" fillId="4" borderId="0" xfId="3" applyFont="1" applyFill="1" applyAlignment="1">
      <alignment horizontal="center" vertical="center" wrapText="1"/>
    </xf>
    <xf numFmtId="0" fontId="3" fillId="0" borderId="7" xfId="3" applyBorder="1" applyAlignment="1">
      <alignment horizontal="left" vertical="center"/>
    </xf>
    <xf numFmtId="0" fontId="3" fillId="0" borderId="8" xfId="3" applyBorder="1" applyAlignment="1">
      <alignment vertical="center"/>
    </xf>
    <xf numFmtId="165" fontId="3" fillId="5" borderId="9" xfId="3" applyNumberFormat="1" applyFill="1" applyBorder="1" applyAlignment="1">
      <alignment horizontal="center" vertical="center"/>
    </xf>
    <xf numFmtId="166" fontId="3" fillId="5" borderId="10" xfId="3" applyNumberFormat="1" applyFill="1" applyBorder="1" applyAlignment="1">
      <alignment horizontal="center" vertical="center"/>
    </xf>
    <xf numFmtId="167" fontId="3" fillId="5" borderId="11" xfId="3" applyNumberFormat="1" applyFill="1" applyBorder="1" applyAlignment="1">
      <alignment horizontal="center" vertical="center"/>
    </xf>
    <xf numFmtId="167" fontId="3" fillId="5" borderId="12" xfId="3" applyNumberFormat="1" applyFill="1" applyBorder="1" applyAlignment="1">
      <alignment horizontal="center" vertical="center"/>
    </xf>
    <xf numFmtId="164" fontId="3" fillId="3" borderId="13" xfId="3" applyNumberFormat="1" applyFill="1" applyBorder="1" applyAlignment="1">
      <alignment horizontal="right" vertical="center"/>
    </xf>
    <xf numFmtId="4" fontId="3" fillId="0" borderId="0" xfId="3" applyNumberFormat="1" applyAlignment="1">
      <alignment horizontal="center" vertical="center"/>
    </xf>
    <xf numFmtId="0" fontId="3" fillId="0" borderId="14" xfId="3" applyBorder="1" applyAlignment="1">
      <alignment horizontal="left" vertical="center"/>
    </xf>
    <xf numFmtId="165" fontId="3" fillId="5" borderId="15" xfId="3" applyNumberFormat="1" applyFill="1" applyBorder="1" applyAlignment="1">
      <alignment horizontal="center" vertical="center"/>
    </xf>
    <xf numFmtId="168" fontId="3" fillId="3" borderId="16" xfId="3" applyNumberFormat="1" applyFill="1" applyBorder="1" applyAlignment="1">
      <alignment horizontal="center" vertical="center"/>
    </xf>
    <xf numFmtId="169" fontId="3" fillId="5" borderId="17" xfId="3" applyNumberFormat="1" applyFill="1" applyBorder="1" applyAlignment="1">
      <alignment horizontal="center" vertical="center"/>
    </xf>
    <xf numFmtId="169" fontId="3" fillId="5" borderId="18" xfId="3" applyNumberFormat="1" applyFill="1" applyBorder="1" applyAlignment="1">
      <alignment horizontal="center" vertical="center"/>
    </xf>
    <xf numFmtId="164" fontId="3" fillId="3" borderId="19" xfId="3" applyNumberFormat="1" applyFill="1" applyBorder="1" applyAlignment="1">
      <alignment horizontal="right" vertical="center"/>
    </xf>
    <xf numFmtId="170" fontId="3" fillId="5" borderId="8" xfId="3" applyNumberFormat="1" applyFill="1" applyBorder="1" applyAlignment="1">
      <alignment vertical="center"/>
    </xf>
    <xf numFmtId="171" fontId="3" fillId="5" borderId="16" xfId="3" applyNumberFormat="1" applyFill="1" applyBorder="1" applyAlignment="1">
      <alignment horizontal="center" vertical="center"/>
    </xf>
    <xf numFmtId="170" fontId="3" fillId="3" borderId="20" xfId="3" applyNumberFormat="1" applyFill="1" applyBorder="1" applyAlignment="1">
      <alignment horizontal="center" vertical="center"/>
    </xf>
    <xf numFmtId="170" fontId="3" fillId="3" borderId="21" xfId="3" applyNumberFormat="1" applyFill="1" applyBorder="1" applyAlignment="1">
      <alignment horizontal="center" vertical="center"/>
    </xf>
    <xf numFmtId="165" fontId="5" fillId="5" borderId="0" xfId="3" applyNumberFormat="1" applyFont="1" applyFill="1" applyAlignment="1">
      <alignment horizontal="center" vertical="center" wrapText="1"/>
    </xf>
    <xf numFmtId="0" fontId="3" fillId="0" borderId="22" xfId="3" applyBorder="1" applyAlignment="1">
      <alignment horizontal="left" vertical="center"/>
    </xf>
    <xf numFmtId="0" fontId="3" fillId="0" borderId="23" xfId="3" applyBorder="1" applyAlignment="1">
      <alignment vertical="center"/>
    </xf>
    <xf numFmtId="0" fontId="3" fillId="0" borderId="24" xfId="3" applyBorder="1" applyAlignment="1">
      <alignment horizontal="center" vertical="center"/>
    </xf>
    <xf numFmtId="171" fontId="3" fillId="0" borderId="25" xfId="3" applyNumberFormat="1" applyBorder="1" applyAlignment="1">
      <alignment horizontal="center" vertical="center"/>
    </xf>
    <xf numFmtId="0" fontId="3" fillId="0" borderId="26" xfId="3" applyBorder="1" applyAlignment="1">
      <alignment vertical="center"/>
    </xf>
    <xf numFmtId="0" fontId="3" fillId="0" borderId="24" xfId="3" applyBorder="1" applyAlignment="1">
      <alignment vertical="center"/>
    </xf>
    <xf numFmtId="164" fontId="3" fillId="3" borderId="27" xfId="3" applyNumberFormat="1" applyFill="1" applyBorder="1" applyAlignment="1">
      <alignment horizontal="right" vertical="center"/>
    </xf>
    <xf numFmtId="170" fontId="3" fillId="0" borderId="0" xfId="3" applyNumberFormat="1" applyAlignment="1">
      <alignment vertical="center"/>
    </xf>
    <xf numFmtId="0" fontId="8" fillId="0" borderId="28" xfId="3" applyFont="1" applyBorder="1" applyAlignment="1">
      <alignment horizontal="left" vertical="center"/>
    </xf>
    <xf numFmtId="0" fontId="11" fillId="0" borderId="29" xfId="3" applyFont="1" applyBorder="1" applyAlignment="1">
      <alignment vertical="center"/>
    </xf>
    <xf numFmtId="0" fontId="11" fillId="0" borderId="29" xfId="3" applyFont="1" applyBorder="1" applyAlignment="1">
      <alignment horizontal="center" vertical="center"/>
    </xf>
    <xf numFmtId="171" fontId="11" fillId="0" borderId="30" xfId="3" applyNumberFormat="1" applyFont="1" applyBorder="1" applyAlignment="1">
      <alignment horizontal="center" vertical="center"/>
    </xf>
    <xf numFmtId="172" fontId="3" fillId="3" borderId="31" xfId="3" applyNumberFormat="1" applyFill="1" applyBorder="1" applyAlignment="1">
      <alignment horizontal="center" vertical="center"/>
    </xf>
    <xf numFmtId="165" fontId="5" fillId="5" borderId="32" xfId="3" applyNumberFormat="1" applyFont="1" applyFill="1" applyBorder="1" applyAlignment="1">
      <alignment horizontal="center" vertical="center" wrapText="1"/>
    </xf>
    <xf numFmtId="4" fontId="8" fillId="0" borderId="0" xfId="3" applyNumberFormat="1" applyFont="1" applyAlignment="1">
      <alignment horizontal="center" vertical="center"/>
    </xf>
    <xf numFmtId="0" fontId="5" fillId="4" borderId="32" xfId="3" applyFont="1" applyFill="1" applyBorder="1" applyAlignment="1">
      <alignment horizontal="center" vertical="center" wrapText="1"/>
    </xf>
    <xf numFmtId="0" fontId="11" fillId="0" borderId="33" xfId="3" applyFont="1" applyBorder="1" applyAlignment="1">
      <alignment horizontal="center" vertical="center"/>
    </xf>
    <xf numFmtId="0" fontId="3" fillId="0" borderId="34" xfId="3" applyBorder="1" applyAlignment="1">
      <alignment horizontal="center" vertical="center"/>
    </xf>
    <xf numFmtId="0" fontId="11" fillId="0" borderId="35" xfId="3" applyFont="1" applyBorder="1" applyAlignment="1">
      <alignment horizontal="center" vertical="center"/>
    </xf>
    <xf numFmtId="0" fontId="11" fillId="2" borderId="35" xfId="3" applyFont="1" applyFill="1" applyBorder="1" applyAlignment="1">
      <alignment horizontal="center" vertical="center"/>
    </xf>
    <xf numFmtId="0" fontId="11" fillId="0" borderId="5" xfId="3" applyFont="1" applyBorder="1" applyAlignment="1">
      <alignment horizontal="center" vertical="center"/>
    </xf>
    <xf numFmtId="0" fontId="11" fillId="0" borderId="2" xfId="3" applyFont="1" applyBorder="1" applyAlignment="1">
      <alignment horizontal="center" vertical="center"/>
    </xf>
    <xf numFmtId="0" fontId="11" fillId="0" borderId="36" xfId="3" applyFont="1" applyBorder="1" applyAlignment="1">
      <alignment horizontal="center" vertical="center"/>
    </xf>
    <xf numFmtId="0" fontId="3" fillId="5" borderId="37" xfId="3" applyFill="1" applyBorder="1" applyAlignment="1">
      <alignment horizontal="center" vertical="center"/>
    </xf>
    <xf numFmtId="0" fontId="3" fillId="5" borderId="38" xfId="3" applyFill="1" applyBorder="1" applyAlignment="1">
      <alignment horizontal="center" vertical="center"/>
    </xf>
    <xf numFmtId="0" fontId="3" fillId="5" borderId="34" xfId="3" applyFill="1" applyBorder="1" applyAlignment="1">
      <alignment horizontal="center" vertical="center"/>
    </xf>
    <xf numFmtId="0" fontId="3" fillId="0" borderId="39" xfId="3" applyBorder="1" applyAlignment="1">
      <alignment horizontal="center" vertical="center"/>
    </xf>
    <xf numFmtId="0" fontId="3" fillId="0" borderId="40" xfId="3" applyBorder="1" applyAlignment="1">
      <alignment horizontal="center" vertical="center"/>
    </xf>
    <xf numFmtId="0" fontId="3" fillId="0" borderId="41" xfId="3" applyBorder="1" applyAlignment="1">
      <alignment horizontal="center" vertical="center"/>
    </xf>
    <xf numFmtId="0" fontId="3" fillId="0" borderId="37" xfId="3" applyBorder="1" applyAlignment="1">
      <alignment horizontal="center" vertical="center"/>
    </xf>
    <xf numFmtId="0" fontId="3" fillId="0" borderId="38" xfId="3" applyBorder="1" applyAlignment="1">
      <alignment horizontal="center" vertical="center"/>
    </xf>
    <xf numFmtId="0" fontId="3" fillId="0" borderId="34" xfId="3" applyBorder="1" applyAlignment="1">
      <alignment horizontal="center" vertical="center"/>
    </xf>
    <xf numFmtId="0" fontId="3" fillId="0" borderId="35" xfId="3" applyBorder="1" applyAlignment="1">
      <alignment horizontal="center" vertical="center"/>
    </xf>
    <xf numFmtId="0" fontId="3" fillId="0" borderId="35" xfId="3" applyBorder="1" applyAlignment="1">
      <alignment horizontal="center" vertical="center" wrapText="1"/>
    </xf>
    <xf numFmtId="0" fontId="3" fillId="0" borderId="42" xfId="3" applyBorder="1" applyAlignment="1">
      <alignment horizontal="center" vertical="center" wrapText="1"/>
    </xf>
    <xf numFmtId="0" fontId="11" fillId="0" borderId="43" xfId="3" applyFont="1" applyBorder="1" applyAlignment="1">
      <alignment horizontal="left" vertical="center"/>
    </xf>
    <xf numFmtId="0" fontId="3" fillId="0" borderId="44" xfId="3" applyBorder="1" applyAlignment="1">
      <alignment horizontal="center" vertical="center"/>
    </xf>
    <xf numFmtId="0" fontId="3" fillId="0" borderId="45" xfId="3" applyBorder="1" applyAlignment="1">
      <alignment vertical="center"/>
    </xf>
    <xf numFmtId="0" fontId="11" fillId="2" borderId="45" xfId="3" applyFont="1" applyFill="1" applyBorder="1" applyAlignment="1">
      <alignment horizontal="center" vertical="center"/>
    </xf>
    <xf numFmtId="0" fontId="11" fillId="0" borderId="46" xfId="3" applyFont="1" applyBorder="1" applyAlignment="1">
      <alignment horizontal="center" vertical="center"/>
    </xf>
    <xf numFmtId="0" fontId="11" fillId="0" borderId="47" xfId="3" applyFont="1" applyBorder="1" applyAlignment="1">
      <alignment horizontal="center" vertical="center"/>
    </xf>
    <xf numFmtId="0" fontId="11" fillId="0" borderId="48" xfId="3" applyFont="1" applyBorder="1" applyAlignment="1">
      <alignment horizontal="center" vertical="center"/>
    </xf>
    <xf numFmtId="0" fontId="11" fillId="0" borderId="30" xfId="3" applyFont="1" applyBorder="1" applyAlignment="1">
      <alignment horizontal="center" vertical="center"/>
    </xf>
    <xf numFmtId="171" fontId="3" fillId="5" borderId="49" xfId="3" applyNumberFormat="1" applyFill="1" applyBorder="1" applyAlignment="1">
      <alignment horizontal="center" vertical="center"/>
    </xf>
    <xf numFmtId="171" fontId="3" fillId="5" borderId="50" xfId="3" applyNumberFormat="1" applyFill="1" applyBorder="1" applyAlignment="1">
      <alignment horizontal="center" vertical="center"/>
    </xf>
    <xf numFmtId="172" fontId="3" fillId="5" borderId="51" xfId="3" applyNumberFormat="1" applyFill="1" applyBorder="1" applyAlignment="1">
      <alignment horizontal="center" vertical="center"/>
    </xf>
    <xf numFmtId="172" fontId="3" fillId="5" borderId="52" xfId="3" applyNumberFormat="1" applyFill="1" applyBorder="1" applyAlignment="1">
      <alignment horizontal="center" vertical="center"/>
    </xf>
    <xf numFmtId="172" fontId="3" fillId="5" borderId="23" xfId="3" applyNumberFormat="1" applyFill="1" applyBorder="1" applyAlignment="1">
      <alignment horizontal="center" vertical="center"/>
    </xf>
    <xf numFmtId="171" fontId="3" fillId="5" borderId="23" xfId="3" applyNumberFormat="1" applyFill="1" applyBorder="1" applyAlignment="1">
      <alignment horizontal="center" vertical="center"/>
    </xf>
    <xf numFmtId="172" fontId="3" fillId="0" borderId="53" xfId="3" applyNumberFormat="1" applyBorder="1" applyAlignment="1">
      <alignment horizontal="center" vertical="center"/>
    </xf>
    <xf numFmtId="172" fontId="3" fillId="0" borderId="15" xfId="3" applyNumberFormat="1" applyBorder="1" applyAlignment="1">
      <alignment horizontal="center" vertical="center"/>
    </xf>
    <xf numFmtId="172" fontId="3" fillId="0" borderId="54" xfId="3" applyNumberFormat="1" applyBorder="1" applyAlignment="1">
      <alignment horizontal="center" vertical="center"/>
    </xf>
    <xf numFmtId="172" fontId="3" fillId="0" borderId="0" xfId="3" applyNumberFormat="1" applyAlignment="1">
      <alignment horizontal="center" vertical="center"/>
    </xf>
    <xf numFmtId="172" fontId="3" fillId="0" borderId="44" xfId="3" applyNumberFormat="1" applyBorder="1" applyAlignment="1">
      <alignment horizontal="center" vertical="center"/>
    </xf>
    <xf numFmtId="0" fontId="3" fillId="0" borderId="45" xfId="3" applyBorder="1" applyAlignment="1">
      <alignment horizontal="center" vertical="center"/>
    </xf>
    <xf numFmtId="0" fontId="3" fillId="0" borderId="45" xfId="3" applyBorder="1" applyAlignment="1">
      <alignment horizontal="center" vertical="center" wrapText="1"/>
    </xf>
    <xf numFmtId="0" fontId="3" fillId="0" borderId="13" xfId="3" applyBorder="1" applyAlignment="1">
      <alignment horizontal="center" vertical="center" wrapText="1"/>
    </xf>
    <xf numFmtId="0" fontId="11" fillId="0" borderId="45" xfId="3" applyFont="1" applyBorder="1" applyAlignment="1">
      <alignment horizontal="center" vertical="center"/>
    </xf>
    <xf numFmtId="173" fontId="3" fillId="0" borderId="55" xfId="3" applyNumberFormat="1" applyBorder="1" applyAlignment="1">
      <alignment vertical="center"/>
    </xf>
    <xf numFmtId="173" fontId="3" fillId="0" borderId="56" xfId="3" applyNumberFormat="1" applyBorder="1" applyAlignment="1">
      <alignment vertical="center"/>
    </xf>
    <xf numFmtId="173" fontId="3" fillId="0" borderId="57" xfId="3" applyNumberFormat="1" applyBorder="1" applyAlignment="1">
      <alignment vertical="center"/>
    </xf>
    <xf numFmtId="173" fontId="3" fillId="0" borderId="58" xfId="3" applyNumberFormat="1" applyBorder="1" applyAlignment="1">
      <alignment vertical="center"/>
    </xf>
    <xf numFmtId="173" fontId="3" fillId="0" borderId="55" xfId="3" applyNumberFormat="1" applyBorder="1" applyAlignment="1">
      <alignment horizontal="center" vertical="center"/>
    </xf>
    <xf numFmtId="173" fontId="3" fillId="0" borderId="59" xfId="3" applyNumberFormat="1" applyBorder="1" applyAlignment="1">
      <alignment horizontal="center" vertical="center"/>
    </xf>
    <xf numFmtId="173" fontId="3" fillId="0" borderId="56" xfId="3" applyNumberFormat="1" applyBorder="1" applyAlignment="1">
      <alignment horizontal="center" vertical="center"/>
    </xf>
    <xf numFmtId="173" fontId="3" fillId="0" borderId="58" xfId="3" applyNumberFormat="1" applyBorder="1" applyAlignment="1">
      <alignment horizontal="center" vertical="center"/>
    </xf>
    <xf numFmtId="172" fontId="3" fillId="0" borderId="45" xfId="3" applyNumberFormat="1" applyBorder="1" applyAlignment="1">
      <alignment horizontal="center" vertical="center"/>
    </xf>
    <xf numFmtId="0" fontId="11" fillId="0" borderId="60" xfId="3" applyFont="1" applyBorder="1" applyAlignment="1">
      <alignment horizontal="left" vertical="center"/>
    </xf>
    <xf numFmtId="0" fontId="3" fillId="0" borderId="61" xfId="3" applyBorder="1" applyAlignment="1">
      <alignment horizontal="center" vertical="center"/>
    </xf>
    <xf numFmtId="0" fontId="3" fillId="0" borderId="62" xfId="3" applyBorder="1" applyAlignment="1">
      <alignment vertical="center"/>
    </xf>
    <xf numFmtId="0" fontId="11" fillId="0" borderId="62" xfId="3" applyFont="1" applyBorder="1" applyAlignment="1">
      <alignment horizontal="center" vertical="center"/>
    </xf>
    <xf numFmtId="172" fontId="3" fillId="0" borderId="46" xfId="3" applyNumberFormat="1" applyBorder="1" applyAlignment="1">
      <alignment horizontal="center" vertical="center"/>
    </xf>
    <xf numFmtId="172" fontId="3" fillId="0" borderId="63" xfId="3" applyNumberFormat="1" applyBorder="1" applyAlignment="1">
      <alignment horizontal="center" vertical="center"/>
    </xf>
    <xf numFmtId="172" fontId="3" fillId="0" borderId="47" xfId="3" applyNumberFormat="1" applyBorder="1" applyAlignment="1">
      <alignment horizontal="center" vertical="center"/>
    </xf>
    <xf numFmtId="172" fontId="3" fillId="0" borderId="64" xfId="3" applyNumberFormat="1" applyBorder="1" applyAlignment="1">
      <alignment horizontal="center" vertical="center"/>
    </xf>
    <xf numFmtId="172" fontId="3" fillId="0" borderId="65" xfId="3" applyNumberFormat="1" applyBorder="1" applyAlignment="1">
      <alignment horizontal="center" vertical="center"/>
    </xf>
    <xf numFmtId="172" fontId="3" fillId="0" borderId="66" xfId="3" applyNumberFormat="1" applyBorder="1" applyAlignment="1">
      <alignment horizontal="center" vertical="center"/>
    </xf>
    <xf numFmtId="172" fontId="3" fillId="0" borderId="32" xfId="3" applyNumberFormat="1" applyBorder="1" applyAlignment="1">
      <alignment horizontal="center" vertical="center"/>
    </xf>
    <xf numFmtId="172" fontId="3" fillId="0" borderId="61" xfId="3" applyNumberFormat="1" applyBorder="1" applyAlignment="1">
      <alignment horizontal="center" vertical="center"/>
    </xf>
    <xf numFmtId="0" fontId="3" fillId="0" borderId="62" xfId="3" applyBorder="1" applyAlignment="1">
      <alignment horizontal="center" vertical="center" wrapText="1"/>
    </xf>
    <xf numFmtId="0" fontId="3" fillId="0" borderId="67" xfId="3" applyBorder="1" applyAlignment="1">
      <alignment horizontal="center" vertical="center" wrapText="1"/>
    </xf>
    <xf numFmtId="0" fontId="5" fillId="0" borderId="33" xfId="3" applyFont="1" applyBorder="1" applyAlignment="1">
      <alignment horizontal="left" vertical="center"/>
    </xf>
    <xf numFmtId="0" fontId="3" fillId="0" borderId="68" xfId="3" applyBorder="1" applyAlignment="1">
      <alignment horizontal="left" vertical="center"/>
    </xf>
    <xf numFmtId="0" fontId="3" fillId="0" borderId="68" xfId="3" applyBorder="1" applyAlignment="1">
      <alignment horizontal="center" vertical="center"/>
    </xf>
    <xf numFmtId="0" fontId="3" fillId="5" borderId="69" xfId="3" applyFill="1" applyBorder="1" applyAlignment="1">
      <alignment vertical="center"/>
    </xf>
    <xf numFmtId="174" fontId="3" fillId="5" borderId="70" xfId="3" applyNumberFormat="1" applyFill="1" applyBorder="1" applyAlignment="1">
      <alignment horizontal="center" vertical="center"/>
    </xf>
    <xf numFmtId="175" fontId="3" fillId="5" borderId="71" xfId="3" applyNumberFormat="1" applyFill="1" applyBorder="1" applyAlignment="1">
      <alignment vertical="center"/>
    </xf>
    <xf numFmtId="172" fontId="3" fillId="3" borderId="72" xfId="3" applyNumberFormat="1" applyFill="1" applyBorder="1" applyAlignment="1">
      <alignment horizontal="center" vertical="center"/>
    </xf>
    <xf numFmtId="176" fontId="3" fillId="5" borderId="69" xfId="3" applyNumberFormat="1" applyFill="1" applyBorder="1" applyAlignment="1">
      <alignment horizontal="center" vertical="center"/>
    </xf>
    <xf numFmtId="172" fontId="3" fillId="3" borderId="71" xfId="3" applyNumberFormat="1" applyFill="1" applyBorder="1" applyAlignment="1">
      <alignment horizontal="center" vertical="center"/>
    </xf>
    <xf numFmtId="177" fontId="3" fillId="5" borderId="70" xfId="4" applyNumberFormat="1" applyFill="1" applyBorder="1" applyAlignment="1">
      <alignment horizontal="center" vertical="center"/>
    </xf>
    <xf numFmtId="178" fontId="3" fillId="4" borderId="69" xfId="3" applyNumberFormat="1" applyFill="1" applyBorder="1" applyAlignment="1">
      <alignment horizontal="center" vertical="center"/>
    </xf>
    <xf numFmtId="178" fontId="3" fillId="4" borderId="70" xfId="3" applyNumberFormat="1" applyFill="1" applyBorder="1" applyAlignment="1">
      <alignment horizontal="center" vertical="center"/>
    </xf>
    <xf numFmtId="179" fontId="3" fillId="4" borderId="70" xfId="3" applyNumberFormat="1" applyFill="1" applyBorder="1" applyAlignment="1">
      <alignment horizontal="center" vertical="center"/>
    </xf>
    <xf numFmtId="179" fontId="3" fillId="4" borderId="73" xfId="3" applyNumberFormat="1" applyFill="1" applyBorder="1" applyAlignment="1">
      <alignment horizontal="center" vertical="center"/>
    </xf>
    <xf numFmtId="179" fontId="3" fillId="3" borderId="70" xfId="3" applyNumberFormat="1" applyFill="1" applyBorder="1" applyAlignment="1">
      <alignment horizontal="center" vertical="center"/>
    </xf>
    <xf numFmtId="172" fontId="3" fillId="3" borderId="74" xfId="3" applyNumberFormat="1" applyFill="1" applyBorder="1" applyAlignment="1">
      <alignment horizontal="center" vertical="center"/>
    </xf>
    <xf numFmtId="9" fontId="3" fillId="5" borderId="74" xfId="3" applyNumberFormat="1" applyFill="1" applyBorder="1" applyAlignment="1">
      <alignment horizontal="center" vertical="center"/>
    </xf>
    <xf numFmtId="180" fontId="11" fillId="3" borderId="75" xfId="3" applyNumberFormat="1" applyFont="1" applyFill="1" applyBorder="1" applyAlignment="1">
      <alignment horizontal="center" vertical="center"/>
    </xf>
    <xf numFmtId="0" fontId="5" fillId="0" borderId="43" xfId="3" applyFont="1" applyBorder="1" applyAlignment="1">
      <alignment horizontal="left" vertical="center"/>
    </xf>
    <xf numFmtId="0" fontId="3" fillId="0" borderId="44" xfId="3" applyBorder="1" applyAlignment="1">
      <alignment horizontal="center" vertical="center"/>
    </xf>
    <xf numFmtId="0" fontId="3" fillId="0" borderId="76" xfId="3" applyBorder="1" applyAlignment="1">
      <alignment horizontal="left" vertical="center"/>
    </xf>
    <xf numFmtId="0" fontId="3" fillId="0" borderId="76" xfId="3" applyBorder="1" applyAlignment="1">
      <alignment horizontal="center" vertical="center"/>
    </xf>
    <xf numFmtId="0" fontId="3" fillId="5" borderId="77" xfId="3" applyFill="1" applyBorder="1" applyAlignment="1">
      <alignment vertical="center"/>
    </xf>
    <xf numFmtId="174" fontId="3" fillId="5" borderId="78" xfId="3" applyNumberFormat="1" applyFill="1" applyBorder="1" applyAlignment="1">
      <alignment horizontal="center" vertical="center"/>
    </xf>
    <xf numFmtId="175" fontId="3" fillId="5" borderId="79" xfId="3" applyNumberFormat="1" applyFill="1" applyBorder="1" applyAlignment="1">
      <alignment vertical="center"/>
    </xf>
    <xf numFmtId="172" fontId="3" fillId="3" borderId="80" xfId="3" applyNumberFormat="1" applyFill="1" applyBorder="1" applyAlignment="1">
      <alignment horizontal="center" vertical="center"/>
    </xf>
    <xf numFmtId="176" fontId="3" fillId="5" borderId="77" xfId="3" applyNumberFormat="1" applyFill="1" applyBorder="1" applyAlignment="1">
      <alignment horizontal="center" vertical="center"/>
    </xf>
    <xf numFmtId="172" fontId="3" fillId="3" borderId="79" xfId="3" applyNumberFormat="1" applyFill="1" applyBorder="1" applyAlignment="1">
      <alignment horizontal="center" vertical="center"/>
    </xf>
    <xf numFmtId="177" fontId="11" fillId="5" borderId="78" xfId="4" applyNumberFormat="1" applyFont="1" applyFill="1" applyBorder="1" applyAlignment="1">
      <alignment horizontal="center" vertical="center"/>
    </xf>
    <xf numFmtId="178" fontId="3" fillId="4" borderId="77" xfId="3" applyNumberFormat="1" applyFill="1" applyBorder="1" applyAlignment="1">
      <alignment horizontal="center" vertical="center"/>
    </xf>
    <xf numFmtId="178" fontId="3" fillId="4" borderId="78" xfId="3" applyNumberFormat="1" applyFill="1" applyBorder="1" applyAlignment="1">
      <alignment horizontal="center" vertical="center"/>
    </xf>
    <xf numFmtId="179" fontId="3" fillId="4" borderId="78" xfId="3" applyNumberFormat="1" applyFill="1" applyBorder="1" applyAlignment="1">
      <alignment horizontal="center" vertical="center"/>
    </xf>
    <xf numFmtId="179" fontId="3" fillId="4" borderId="25" xfId="3" applyNumberFormat="1" applyFill="1" applyBorder="1" applyAlignment="1">
      <alignment horizontal="center" vertical="center"/>
    </xf>
    <xf numFmtId="179" fontId="3" fillId="3" borderId="78" xfId="3" applyNumberFormat="1" applyFill="1" applyBorder="1" applyAlignment="1">
      <alignment horizontal="center" vertical="center"/>
    </xf>
    <xf numFmtId="172" fontId="3" fillId="3" borderId="81" xfId="3" applyNumberFormat="1" applyFill="1" applyBorder="1" applyAlignment="1">
      <alignment horizontal="center" vertical="center"/>
    </xf>
    <xf numFmtId="9" fontId="3" fillId="3" borderId="81" xfId="3" applyNumberFormat="1" applyFill="1" applyBorder="1" applyAlignment="1">
      <alignment horizontal="center" vertical="center"/>
    </xf>
    <xf numFmtId="180" fontId="11" fillId="3" borderId="27" xfId="3" applyNumberFormat="1" applyFont="1" applyFill="1" applyBorder="1" applyAlignment="1">
      <alignment horizontal="center" vertical="center"/>
    </xf>
    <xf numFmtId="0" fontId="3" fillId="0" borderId="82" xfId="3" applyBorder="1" applyAlignment="1">
      <alignment horizontal="left" vertical="center" wrapText="1"/>
    </xf>
    <xf numFmtId="0" fontId="3" fillId="0" borderId="82" xfId="3" applyBorder="1" applyAlignment="1">
      <alignment horizontal="center" vertical="center"/>
    </xf>
    <xf numFmtId="0" fontId="3" fillId="5" borderId="83" xfId="3" applyFill="1" applyBorder="1" applyAlignment="1">
      <alignment vertical="center"/>
    </xf>
    <xf numFmtId="174" fontId="3" fillId="5" borderId="84" xfId="3" applyNumberFormat="1" applyFill="1" applyBorder="1" applyAlignment="1">
      <alignment horizontal="center" vertical="center"/>
    </xf>
    <xf numFmtId="175" fontId="3" fillId="5" borderId="85" xfId="3" applyNumberFormat="1" applyFill="1" applyBorder="1" applyAlignment="1">
      <alignment vertical="center"/>
    </xf>
    <xf numFmtId="172" fontId="3" fillId="3" borderId="12" xfId="3" applyNumberFormat="1" applyFill="1" applyBorder="1" applyAlignment="1">
      <alignment horizontal="center" vertical="center"/>
    </xf>
    <xf numFmtId="176" fontId="3" fillId="5" borderId="83" xfId="3" applyNumberFormat="1" applyFill="1" applyBorder="1" applyAlignment="1">
      <alignment horizontal="center" vertical="center"/>
    </xf>
    <xf numFmtId="172" fontId="3" fillId="3" borderId="85" xfId="3" applyNumberFormat="1" applyFill="1" applyBorder="1" applyAlignment="1">
      <alignment horizontal="center" vertical="center"/>
    </xf>
    <xf numFmtId="177" fontId="3" fillId="5" borderId="84" xfId="4" applyNumberFormat="1" applyFill="1" applyBorder="1" applyAlignment="1">
      <alignment horizontal="center" vertical="center"/>
    </xf>
    <xf numFmtId="172" fontId="3" fillId="3" borderId="86" xfId="3" applyNumberFormat="1" applyFill="1" applyBorder="1" applyAlignment="1">
      <alignment horizontal="center" vertical="center"/>
    </xf>
    <xf numFmtId="178" fontId="3" fillId="4" borderId="83" xfId="3" applyNumberFormat="1" applyFill="1" applyBorder="1" applyAlignment="1">
      <alignment horizontal="center" vertical="center"/>
    </xf>
    <xf numFmtId="178" fontId="3" fillId="4" borderId="84" xfId="3" applyNumberFormat="1" applyFill="1" applyBorder="1" applyAlignment="1">
      <alignment horizontal="center" vertical="center"/>
    </xf>
    <xf numFmtId="179" fontId="3" fillId="4" borderId="84" xfId="3" applyNumberFormat="1" applyFill="1" applyBorder="1" applyAlignment="1">
      <alignment horizontal="center" vertical="center"/>
    </xf>
    <xf numFmtId="179" fontId="3" fillId="4" borderId="87" xfId="3" applyNumberFormat="1" applyFill="1" applyBorder="1" applyAlignment="1">
      <alignment horizontal="center" vertical="center"/>
    </xf>
    <xf numFmtId="179" fontId="3" fillId="3" borderId="84" xfId="3" applyNumberFormat="1" applyFill="1" applyBorder="1" applyAlignment="1">
      <alignment horizontal="center" vertical="center"/>
    </xf>
    <xf numFmtId="9" fontId="3" fillId="5" borderId="12" xfId="3" applyNumberFormat="1" applyFill="1" applyBorder="1" applyAlignment="1">
      <alignment horizontal="center" vertical="center"/>
    </xf>
    <xf numFmtId="180" fontId="11" fillId="3" borderId="88" xfId="3" applyNumberFormat="1" applyFont="1" applyFill="1" applyBorder="1" applyAlignment="1">
      <alignment horizontal="center" vertical="center"/>
    </xf>
    <xf numFmtId="0" fontId="3" fillId="0" borderId="76" xfId="3" applyBorder="1" applyAlignment="1">
      <alignment horizontal="left" vertical="center" wrapText="1"/>
    </xf>
    <xf numFmtId="0" fontId="3" fillId="0" borderId="89" xfId="3" applyBorder="1" applyAlignment="1">
      <alignment horizontal="left" vertical="center" wrapText="1"/>
    </xf>
    <xf numFmtId="0" fontId="3" fillId="0" borderId="90" xfId="3" applyBorder="1" applyAlignment="1">
      <alignment horizontal="left" vertical="center" wrapText="1"/>
    </xf>
    <xf numFmtId="0" fontId="3" fillId="0" borderId="91" xfId="3" applyBorder="1" applyAlignment="1">
      <alignment horizontal="left" vertical="center" wrapText="1"/>
    </xf>
    <xf numFmtId="0" fontId="3" fillId="0" borderId="45" xfId="3" applyBorder="1" applyAlignment="1">
      <alignment horizontal="left" vertical="center" wrapText="1"/>
    </xf>
    <xf numFmtId="0" fontId="3" fillId="0" borderId="89" xfId="3" applyBorder="1" applyAlignment="1">
      <alignment horizontal="center" vertical="center"/>
    </xf>
    <xf numFmtId="0" fontId="3" fillId="5" borderId="92" xfId="3" applyFill="1" applyBorder="1" applyAlignment="1">
      <alignment vertical="center"/>
    </xf>
    <xf numFmtId="174" fontId="3" fillId="5" borderId="93" xfId="3" applyNumberFormat="1" applyFill="1" applyBorder="1" applyAlignment="1">
      <alignment horizontal="center" vertical="center"/>
    </xf>
    <xf numFmtId="175" fontId="3" fillId="5" borderId="94" xfId="3" applyNumberFormat="1" applyFill="1" applyBorder="1" applyAlignment="1">
      <alignment vertical="center"/>
    </xf>
    <xf numFmtId="172" fontId="3" fillId="3" borderId="18" xfId="3" applyNumberFormat="1" applyFill="1" applyBorder="1" applyAlignment="1">
      <alignment horizontal="center" vertical="center"/>
    </xf>
    <xf numFmtId="176" fontId="3" fillId="5" borderId="92" xfId="3" applyNumberFormat="1" applyFill="1" applyBorder="1" applyAlignment="1">
      <alignment horizontal="center" vertical="center"/>
    </xf>
    <xf numFmtId="172" fontId="3" fillId="3" borderId="94" xfId="3" applyNumberFormat="1" applyFill="1" applyBorder="1" applyAlignment="1">
      <alignment horizontal="center" vertical="center"/>
    </xf>
    <xf numFmtId="177" fontId="11" fillId="5" borderId="93" xfId="4" applyNumberFormat="1" applyFont="1" applyFill="1" applyBorder="1" applyAlignment="1">
      <alignment horizontal="center" vertical="center"/>
    </xf>
    <xf numFmtId="172" fontId="3" fillId="3" borderId="95" xfId="3" applyNumberFormat="1" applyFill="1" applyBorder="1" applyAlignment="1">
      <alignment horizontal="center" vertical="center"/>
    </xf>
    <xf numFmtId="178" fontId="3" fillId="4" borderId="92" xfId="3" applyNumberFormat="1" applyFill="1" applyBorder="1" applyAlignment="1">
      <alignment horizontal="center" vertical="center"/>
    </xf>
    <xf numFmtId="178" fontId="3" fillId="4" borderId="93" xfId="3" applyNumberFormat="1" applyFill="1" applyBorder="1" applyAlignment="1">
      <alignment horizontal="center" vertical="center"/>
    </xf>
    <xf numFmtId="179" fontId="3" fillId="4" borderId="93" xfId="3" applyNumberFormat="1" applyFill="1" applyBorder="1" applyAlignment="1">
      <alignment horizontal="center" vertical="center"/>
    </xf>
    <xf numFmtId="179" fontId="3" fillId="4" borderId="96" xfId="3" applyNumberFormat="1" applyFill="1" applyBorder="1" applyAlignment="1">
      <alignment horizontal="center" vertical="center"/>
    </xf>
    <xf numFmtId="179" fontId="3" fillId="3" borderId="93" xfId="3" applyNumberFormat="1" applyFill="1" applyBorder="1" applyAlignment="1">
      <alignment horizontal="center" vertical="center"/>
    </xf>
    <xf numFmtId="180" fontId="11" fillId="3" borderId="19" xfId="3" applyNumberFormat="1" applyFont="1" applyFill="1" applyBorder="1" applyAlignment="1">
      <alignment horizontal="center" vertical="center"/>
    </xf>
    <xf numFmtId="0" fontId="3" fillId="0" borderId="35" xfId="3" applyBorder="1" applyAlignment="1">
      <alignment horizontal="left" vertical="center" wrapText="1"/>
    </xf>
    <xf numFmtId="0" fontId="3" fillId="0" borderId="37" xfId="3" applyBorder="1" applyAlignment="1">
      <alignment vertical="center"/>
    </xf>
    <xf numFmtId="174" fontId="3" fillId="0" borderId="38" xfId="3" applyNumberFormat="1" applyBorder="1" applyAlignment="1">
      <alignment horizontal="center" vertical="center"/>
    </xf>
    <xf numFmtId="175" fontId="3" fillId="0" borderId="38" xfId="3" applyNumberFormat="1" applyBorder="1" applyAlignment="1">
      <alignment vertical="center"/>
    </xf>
    <xf numFmtId="172" fontId="3" fillId="0" borderId="38" xfId="3" applyNumberFormat="1" applyBorder="1" applyAlignment="1">
      <alignment horizontal="center" vertical="center"/>
    </xf>
    <xf numFmtId="176" fontId="3" fillId="0" borderId="38" xfId="3" applyNumberFormat="1" applyBorder="1" applyAlignment="1">
      <alignment horizontal="center" vertical="center"/>
    </xf>
    <xf numFmtId="177" fontId="3" fillId="0" borderId="38" xfId="4" applyNumberFormat="1" applyBorder="1" applyAlignment="1">
      <alignment horizontal="center" vertical="center"/>
    </xf>
    <xf numFmtId="178" fontId="3" fillId="0" borderId="38" xfId="3" applyNumberFormat="1" applyBorder="1" applyAlignment="1">
      <alignment horizontal="center" vertical="center"/>
    </xf>
    <xf numFmtId="179" fontId="3" fillId="0" borderId="38" xfId="3" applyNumberFormat="1" applyBorder="1" applyAlignment="1">
      <alignment horizontal="center" vertical="center"/>
    </xf>
    <xf numFmtId="172" fontId="3" fillId="0" borderId="34" xfId="3" applyNumberFormat="1" applyBorder="1" applyAlignment="1">
      <alignment horizontal="center" vertical="center"/>
    </xf>
    <xf numFmtId="9" fontId="3" fillId="0" borderId="35" xfId="3" applyNumberFormat="1" applyBorder="1" applyAlignment="1">
      <alignment horizontal="center" vertical="center"/>
    </xf>
    <xf numFmtId="0" fontId="3" fillId="0" borderId="97" xfId="3" applyBorder="1" applyAlignment="1">
      <alignment vertical="center"/>
    </xf>
    <xf numFmtId="174" fontId="3" fillId="0" borderId="32" xfId="3" applyNumberFormat="1" applyBorder="1" applyAlignment="1">
      <alignment horizontal="center" vertical="center"/>
    </xf>
    <xf numFmtId="175" fontId="3" fillId="0" borderId="32" xfId="3" applyNumberFormat="1" applyBorder="1" applyAlignment="1">
      <alignment vertical="center"/>
    </xf>
    <xf numFmtId="176" fontId="3" fillId="0" borderId="32" xfId="3" applyNumberFormat="1" applyBorder="1" applyAlignment="1">
      <alignment horizontal="center" vertical="center"/>
    </xf>
    <xf numFmtId="177" fontId="11" fillId="0" borderId="32" xfId="4" applyNumberFormat="1" applyFont="1" applyBorder="1" applyAlignment="1">
      <alignment horizontal="center" vertical="center"/>
    </xf>
    <xf numFmtId="178" fontId="3" fillId="0" borderId="32" xfId="3" applyNumberFormat="1" applyBorder="1" applyAlignment="1">
      <alignment horizontal="center" vertical="center"/>
    </xf>
    <xf numFmtId="179" fontId="3" fillId="0" borderId="32" xfId="3" applyNumberFormat="1" applyBorder="1" applyAlignment="1">
      <alignment horizontal="center" vertical="center"/>
    </xf>
    <xf numFmtId="9" fontId="3" fillId="0" borderId="62" xfId="3" applyNumberFormat="1" applyBorder="1" applyAlignment="1">
      <alignment horizontal="center" vertical="center"/>
    </xf>
    <xf numFmtId="0" fontId="3" fillId="0" borderId="61" xfId="3" applyBorder="1" applyAlignment="1">
      <alignment horizontal="center" vertical="center"/>
    </xf>
    <xf numFmtId="0" fontId="3" fillId="0" borderId="62" xfId="3" applyBorder="1" applyAlignment="1">
      <alignment horizontal="left" vertical="center" wrapText="1"/>
    </xf>
    <xf numFmtId="0" fontId="8" fillId="0" borderId="98" xfId="3" applyFont="1" applyBorder="1" applyAlignment="1">
      <alignment horizontal="center" vertical="center"/>
    </xf>
    <xf numFmtId="0" fontId="8" fillId="0" borderId="99" xfId="3" applyFont="1" applyBorder="1" applyAlignment="1">
      <alignment vertical="center"/>
    </xf>
    <xf numFmtId="172" fontId="8" fillId="3" borderId="100" xfId="3" applyNumberFormat="1" applyFont="1" applyFill="1" applyBorder="1" applyAlignment="1">
      <alignment horizontal="center" vertical="center"/>
    </xf>
    <xf numFmtId="9" fontId="8" fillId="0" borderId="99" xfId="1" applyFont="1" applyFill="1" applyBorder="1" applyAlignment="1">
      <alignment horizontal="center" vertical="center"/>
    </xf>
    <xf numFmtId="180" fontId="8" fillId="3" borderId="101" xfId="3" applyNumberFormat="1" applyFont="1" applyFill="1" applyBorder="1" applyAlignment="1">
      <alignment horizontal="center" vertical="center"/>
    </xf>
    <xf numFmtId="0" fontId="3" fillId="0" borderId="68" xfId="3" applyBorder="1" applyAlignment="1">
      <alignment horizontal="left" vertical="center" wrapText="1"/>
    </xf>
    <xf numFmtId="172" fontId="3" fillId="3" borderId="68" xfId="3" applyNumberFormat="1" applyFill="1" applyBorder="1" applyAlignment="1">
      <alignment horizontal="center" vertical="center"/>
    </xf>
    <xf numFmtId="9" fontId="3" fillId="5" borderId="8" xfId="3" applyNumberFormat="1" applyFill="1" applyBorder="1" applyAlignment="1">
      <alignment horizontal="center" vertical="center"/>
    </xf>
    <xf numFmtId="172" fontId="3" fillId="3" borderId="82" xfId="3" applyNumberFormat="1" applyFill="1" applyBorder="1" applyAlignment="1">
      <alignment horizontal="center" vertical="center"/>
    </xf>
    <xf numFmtId="9" fontId="3" fillId="3" borderId="0" xfId="3" applyNumberFormat="1" applyFill="1" applyAlignment="1">
      <alignment vertical="center"/>
    </xf>
    <xf numFmtId="180" fontId="3" fillId="0" borderId="0" xfId="3" applyNumberFormat="1" applyAlignment="1">
      <alignment vertical="center"/>
    </xf>
    <xf numFmtId="172" fontId="3" fillId="3" borderId="89" xfId="3" applyNumberFormat="1" applyFill="1" applyBorder="1" applyAlignment="1">
      <alignment horizontal="center" vertical="center"/>
    </xf>
    <xf numFmtId="0" fontId="8" fillId="0" borderId="102" xfId="3" applyFont="1" applyBorder="1" applyAlignment="1">
      <alignment vertical="center"/>
    </xf>
    <xf numFmtId="0" fontId="8" fillId="0" borderId="100" xfId="3" applyFont="1" applyBorder="1" applyAlignment="1">
      <alignment vertical="center"/>
    </xf>
    <xf numFmtId="172" fontId="8" fillId="3" borderId="98" xfId="3" applyNumberFormat="1" applyFont="1" applyFill="1" applyBorder="1" applyAlignment="1">
      <alignment horizontal="center" vertical="center"/>
    </xf>
    <xf numFmtId="0" fontId="5" fillId="0" borderId="103" xfId="3" applyFont="1" applyBorder="1" applyAlignment="1">
      <alignment vertical="center"/>
    </xf>
    <xf numFmtId="0" fontId="5" fillId="0" borderId="99" xfId="3" applyFont="1" applyBorder="1" applyAlignment="1">
      <alignment vertical="center"/>
    </xf>
    <xf numFmtId="0" fontId="5" fillId="0" borderId="99" xfId="3" applyFont="1" applyBorder="1" applyAlignment="1">
      <alignment horizontal="center" vertical="center"/>
    </xf>
    <xf numFmtId="0" fontId="5" fillId="0" borderId="100" xfId="3" applyFont="1" applyBorder="1" applyAlignment="1">
      <alignment vertical="center"/>
    </xf>
    <xf numFmtId="172" fontId="5" fillId="3" borderId="98" xfId="3" applyNumberFormat="1" applyFont="1" applyFill="1" applyBorder="1" applyAlignment="1">
      <alignment horizontal="center" vertical="center"/>
    </xf>
    <xf numFmtId="0" fontId="3" fillId="0" borderId="97" xfId="3" applyBorder="1" applyAlignment="1">
      <alignment horizontal="center" vertical="center"/>
    </xf>
    <xf numFmtId="0" fontId="3" fillId="0" borderId="104" xfId="3" applyBorder="1" applyAlignment="1">
      <alignment horizontal="center" vertical="center"/>
    </xf>
    <xf numFmtId="0" fontId="3" fillId="0" borderId="36" xfId="3" applyBorder="1" applyAlignment="1">
      <alignment horizontal="center" vertical="center"/>
    </xf>
    <xf numFmtId="177" fontId="11" fillId="5" borderId="70" xfId="4" applyNumberFormat="1" applyFont="1" applyFill="1" applyBorder="1" applyAlignment="1">
      <alignment horizontal="center" vertical="center"/>
    </xf>
    <xf numFmtId="10" fontId="3" fillId="5" borderId="74" xfId="3" applyNumberFormat="1" applyFill="1" applyBorder="1" applyAlignment="1">
      <alignment horizontal="center" vertical="center"/>
    </xf>
    <xf numFmtId="0" fontId="11" fillId="0" borderId="0" xfId="3" applyFont="1" applyAlignment="1">
      <alignment vertical="center"/>
    </xf>
    <xf numFmtId="0" fontId="3" fillId="0" borderId="58" xfId="3" applyBorder="1" applyAlignment="1">
      <alignment horizontal="center" vertical="center"/>
    </xf>
    <xf numFmtId="10" fontId="3" fillId="5" borderId="81" xfId="3" applyNumberFormat="1" applyFill="1" applyBorder="1" applyAlignment="1">
      <alignment horizontal="center" vertical="center"/>
    </xf>
    <xf numFmtId="0" fontId="3" fillId="0" borderId="82" xfId="3" applyBorder="1" applyAlignment="1">
      <alignment horizontal="left" vertical="center"/>
    </xf>
    <xf numFmtId="10" fontId="3" fillId="5" borderId="12" xfId="3" applyNumberFormat="1" applyFill="1" applyBorder="1" applyAlignment="1">
      <alignment horizontal="center" vertical="center"/>
    </xf>
    <xf numFmtId="0" fontId="3" fillId="0" borderId="21" xfId="3" applyBorder="1" applyAlignment="1">
      <alignment horizontal="left" vertical="center" wrapText="1"/>
    </xf>
    <xf numFmtId="0" fontId="3" fillId="0" borderId="81" xfId="3" applyBorder="1" applyAlignment="1">
      <alignment horizontal="left" vertical="center" wrapText="1"/>
    </xf>
    <xf numFmtId="0" fontId="3" fillId="0" borderId="12" xfId="3" applyBorder="1" applyAlignment="1">
      <alignment horizontal="left" vertical="center" wrapText="1"/>
    </xf>
    <xf numFmtId="0" fontId="12" fillId="0" borderId="0" xfId="3" applyFont="1" applyAlignment="1">
      <alignment vertical="center"/>
    </xf>
    <xf numFmtId="0" fontId="8" fillId="0" borderId="0" xfId="3" applyFont="1" applyAlignment="1">
      <alignment vertical="center"/>
    </xf>
    <xf numFmtId="0" fontId="3" fillId="0" borderId="18" xfId="3" applyBorder="1" applyAlignment="1">
      <alignment horizontal="left" vertical="center" wrapText="1"/>
    </xf>
    <xf numFmtId="0" fontId="3" fillId="0" borderId="105" xfId="3" applyBorder="1" applyAlignment="1">
      <alignment horizontal="left" vertical="center" wrapText="1"/>
    </xf>
    <xf numFmtId="0" fontId="3" fillId="0" borderId="52" xfId="3" applyBorder="1" applyAlignment="1">
      <alignment horizontal="left" vertical="center" wrapText="1"/>
    </xf>
    <xf numFmtId="0" fontId="3" fillId="0" borderId="106" xfId="3" applyBorder="1" applyAlignment="1">
      <alignment horizontal="center" vertical="center"/>
    </xf>
    <xf numFmtId="0" fontId="3" fillId="5" borderId="107" xfId="3" applyFill="1" applyBorder="1" applyAlignment="1">
      <alignment vertical="center"/>
    </xf>
    <xf numFmtId="174" fontId="3" fillId="5" borderId="9" xfId="3" applyNumberFormat="1" applyFill="1" applyBorder="1" applyAlignment="1">
      <alignment horizontal="center" vertical="center"/>
    </xf>
    <xf numFmtId="175" fontId="3" fillId="5" borderId="108" xfId="3" applyNumberFormat="1" applyFill="1" applyBorder="1" applyAlignment="1">
      <alignment vertical="center"/>
    </xf>
    <xf numFmtId="172" fontId="3" fillId="3" borderId="109" xfId="3" applyNumberFormat="1" applyFill="1" applyBorder="1" applyAlignment="1">
      <alignment horizontal="center" vertical="center"/>
    </xf>
    <xf numFmtId="176" fontId="3" fillId="5" borderId="107" xfId="3" applyNumberFormat="1" applyFill="1" applyBorder="1" applyAlignment="1">
      <alignment horizontal="center" vertical="center"/>
    </xf>
    <xf numFmtId="177" fontId="3" fillId="5" borderId="110" xfId="3" applyNumberFormat="1" applyFill="1" applyBorder="1" applyAlignment="1">
      <alignment horizontal="center" vertical="center"/>
    </xf>
    <xf numFmtId="178" fontId="3" fillId="4" borderId="107" xfId="3" applyNumberFormat="1" applyFill="1" applyBorder="1" applyAlignment="1">
      <alignment horizontal="center" vertical="center"/>
    </xf>
    <xf numFmtId="178" fontId="3" fillId="4" borderId="110" xfId="3" applyNumberFormat="1" applyFill="1" applyBorder="1" applyAlignment="1">
      <alignment horizontal="center" vertical="center"/>
    </xf>
    <xf numFmtId="179" fontId="3" fillId="4" borderId="110" xfId="3" applyNumberFormat="1" applyFill="1" applyBorder="1" applyAlignment="1">
      <alignment horizontal="center" vertical="center"/>
    </xf>
    <xf numFmtId="179" fontId="3" fillId="4" borderId="111" xfId="3" applyNumberFormat="1" applyFill="1" applyBorder="1" applyAlignment="1">
      <alignment horizontal="center" vertical="center"/>
    </xf>
    <xf numFmtId="179" fontId="3" fillId="3" borderId="110" xfId="3" applyNumberFormat="1" applyFill="1" applyBorder="1" applyAlignment="1">
      <alignment horizontal="center" vertical="center"/>
    </xf>
    <xf numFmtId="10" fontId="3" fillId="5" borderId="112" xfId="3" applyNumberFormat="1" applyFill="1" applyBorder="1" applyAlignment="1">
      <alignment horizontal="center" vertical="center"/>
    </xf>
    <xf numFmtId="180" fontId="11" fillId="3" borderId="113" xfId="3" applyNumberFormat="1" applyFont="1" applyFill="1" applyBorder="1" applyAlignment="1">
      <alignment horizontal="center" vertical="center"/>
    </xf>
    <xf numFmtId="0" fontId="3" fillId="0" borderId="44" xfId="3" applyBorder="1" applyAlignment="1">
      <alignment horizontal="left" vertical="center" wrapText="1"/>
    </xf>
    <xf numFmtId="0" fontId="3" fillId="0" borderId="34" xfId="3" applyBorder="1" applyAlignment="1">
      <alignment horizontal="left" vertical="center" wrapText="1"/>
    </xf>
    <xf numFmtId="0" fontId="3" fillId="0" borderId="105" xfId="3" applyBorder="1" applyAlignment="1">
      <alignment horizontal="center" vertical="center"/>
    </xf>
    <xf numFmtId="0" fontId="3" fillId="0" borderId="61" xfId="3" applyBorder="1" applyAlignment="1">
      <alignment horizontal="left" vertical="center" wrapText="1"/>
    </xf>
    <xf numFmtId="0" fontId="3" fillId="0" borderId="44" xfId="3" applyBorder="1" applyAlignment="1">
      <alignment horizontal="left" vertical="center"/>
    </xf>
    <xf numFmtId="0" fontId="3" fillId="0" borderId="90" xfId="3" applyBorder="1" applyAlignment="1">
      <alignment horizontal="left" vertical="center"/>
    </xf>
    <xf numFmtId="0" fontId="3" fillId="0" borderId="91" xfId="3" applyBorder="1" applyAlignment="1">
      <alignment horizontal="left" vertical="center"/>
    </xf>
    <xf numFmtId="0" fontId="5" fillId="0" borderId="60" xfId="3" applyFont="1" applyBorder="1" applyAlignment="1">
      <alignment horizontal="left" vertical="center"/>
    </xf>
    <xf numFmtId="0" fontId="3" fillId="0" borderId="114" xfId="3" applyBorder="1" applyAlignment="1">
      <alignment horizontal="center" vertical="center"/>
    </xf>
    <xf numFmtId="0" fontId="5" fillId="0" borderId="33" xfId="3" applyFont="1" applyBorder="1" applyAlignment="1">
      <alignment horizontal="left" vertical="center" wrapText="1"/>
    </xf>
    <xf numFmtId="0" fontId="3" fillId="0" borderId="74" xfId="3" applyBorder="1" applyAlignment="1">
      <alignment horizontal="left" vertical="center"/>
    </xf>
    <xf numFmtId="0" fontId="5" fillId="0" borderId="43" xfId="3" applyFont="1" applyBorder="1" applyAlignment="1">
      <alignment horizontal="left" vertical="center" wrapText="1"/>
    </xf>
    <xf numFmtId="0" fontId="3" fillId="0" borderId="81" xfId="3" applyBorder="1" applyAlignment="1">
      <alignment horizontal="left" vertical="center"/>
    </xf>
    <xf numFmtId="0" fontId="3" fillId="0" borderId="12" xfId="3" applyBorder="1" applyAlignment="1">
      <alignment horizontal="left" vertical="center"/>
    </xf>
    <xf numFmtId="177" fontId="3" fillId="5" borderId="110" xfId="4" applyNumberFormat="1" applyFill="1" applyBorder="1" applyAlignment="1">
      <alignment horizontal="center" vertical="center"/>
    </xf>
    <xf numFmtId="174" fontId="3" fillId="5" borderId="110" xfId="3" applyNumberFormat="1" applyFill="1" applyBorder="1" applyAlignment="1">
      <alignment horizontal="center" vertical="center"/>
    </xf>
    <xf numFmtId="175" fontId="3" fillId="5" borderId="115" xfId="3" applyNumberFormat="1" applyFill="1" applyBorder="1" applyAlignment="1">
      <alignment vertical="center"/>
    </xf>
    <xf numFmtId="9" fontId="3" fillId="0" borderId="0" xfId="3" applyNumberFormat="1" applyAlignment="1">
      <alignment vertical="center"/>
    </xf>
    <xf numFmtId="0" fontId="3" fillId="0" borderId="52" xfId="3" applyBorder="1" applyAlignment="1">
      <alignment horizontal="center" vertical="center"/>
    </xf>
    <xf numFmtId="9" fontId="3" fillId="5" borderId="7" xfId="3" applyNumberFormat="1" applyFill="1" applyBorder="1" applyAlignment="1">
      <alignment horizontal="center" vertical="center"/>
    </xf>
    <xf numFmtId="0" fontId="8" fillId="0" borderId="35" xfId="3" applyFont="1" applyBorder="1" applyAlignment="1">
      <alignment horizontal="center" vertical="center"/>
    </xf>
    <xf numFmtId="0" fontId="8" fillId="0" borderId="38" xfId="3" applyFont="1" applyBorder="1" applyAlignment="1">
      <alignment vertical="center"/>
    </xf>
    <xf numFmtId="172" fontId="8" fillId="3" borderId="35" xfId="3" applyNumberFormat="1" applyFont="1" applyFill="1" applyBorder="1" applyAlignment="1">
      <alignment horizontal="center" vertical="center"/>
    </xf>
    <xf numFmtId="9" fontId="8" fillId="0" borderId="38" xfId="1" applyFont="1" applyFill="1" applyBorder="1" applyAlignment="1">
      <alignment horizontal="center" vertical="center"/>
    </xf>
    <xf numFmtId="180" fontId="8" fillId="3" borderId="42" xfId="3" applyNumberFormat="1" applyFont="1" applyFill="1" applyBorder="1" applyAlignment="1">
      <alignment horizontal="center" vertical="center"/>
    </xf>
    <xf numFmtId="9" fontId="5" fillId="0" borderId="102" xfId="1" applyFont="1" applyFill="1" applyBorder="1" applyAlignment="1">
      <alignment horizontal="center" vertical="center"/>
    </xf>
    <xf numFmtId="180" fontId="5" fillId="0" borderId="116" xfId="3" applyNumberFormat="1" applyFont="1" applyBorder="1" applyAlignment="1">
      <alignment horizontal="center" vertical="center"/>
    </xf>
    <xf numFmtId="0" fontId="3" fillId="0" borderId="0" xfId="3" quotePrefix="1" applyAlignment="1">
      <alignment vertical="center"/>
    </xf>
    <xf numFmtId="0" fontId="3" fillId="0" borderId="45" xfId="3" applyBorder="1" applyAlignment="1">
      <alignment horizontal="center" vertical="center"/>
    </xf>
    <xf numFmtId="0" fontId="3" fillId="0" borderId="117" xfId="3" applyBorder="1" applyAlignment="1">
      <alignment horizontal="center" vertical="center"/>
    </xf>
    <xf numFmtId="177" fontId="3" fillId="5" borderId="78" xfId="4" applyNumberFormat="1" applyFill="1" applyBorder="1" applyAlignment="1">
      <alignment horizontal="center" vertical="center"/>
    </xf>
    <xf numFmtId="172" fontId="3" fillId="3" borderId="76" xfId="3" applyNumberFormat="1" applyFill="1" applyBorder="1" applyAlignment="1">
      <alignment horizontal="center" vertical="center"/>
    </xf>
    <xf numFmtId="177" fontId="3" fillId="5" borderId="84" xfId="3" applyNumberFormat="1" applyFill="1" applyBorder="1" applyAlignment="1">
      <alignment horizontal="center" vertical="center"/>
    </xf>
    <xf numFmtId="0" fontId="3" fillId="0" borderId="118" xfId="3" applyBorder="1" applyAlignment="1">
      <alignment horizontal="center" vertical="center"/>
    </xf>
    <xf numFmtId="0" fontId="3" fillId="5" borderId="119" xfId="3" applyFill="1" applyBorder="1" applyAlignment="1">
      <alignment vertical="center"/>
    </xf>
    <xf numFmtId="174" fontId="3" fillId="5" borderId="120" xfId="3" applyNumberFormat="1" applyFill="1" applyBorder="1" applyAlignment="1">
      <alignment horizontal="center" vertical="center"/>
    </xf>
    <xf numFmtId="175" fontId="3" fillId="5" borderId="121" xfId="3" applyNumberFormat="1" applyFill="1" applyBorder="1" applyAlignment="1">
      <alignment vertical="center"/>
    </xf>
    <xf numFmtId="176" fontId="3" fillId="5" borderId="122" xfId="3" applyNumberFormat="1" applyFill="1" applyBorder="1" applyAlignment="1">
      <alignment horizontal="center" vertical="center"/>
    </xf>
    <xf numFmtId="177" fontId="3" fillId="5" borderId="120" xfId="3" applyNumberFormat="1" applyFill="1" applyBorder="1" applyAlignment="1">
      <alignment horizontal="center" vertical="center"/>
    </xf>
    <xf numFmtId="178" fontId="3" fillId="4" borderId="122" xfId="3" applyNumberFormat="1" applyFill="1" applyBorder="1" applyAlignment="1">
      <alignment horizontal="center" vertical="center"/>
    </xf>
    <xf numFmtId="178" fontId="3" fillId="4" borderId="120" xfId="3" applyNumberFormat="1" applyFill="1" applyBorder="1" applyAlignment="1">
      <alignment horizontal="center" vertical="center"/>
    </xf>
    <xf numFmtId="179" fontId="3" fillId="4" borderId="120" xfId="3" applyNumberFormat="1" applyFill="1" applyBorder="1" applyAlignment="1">
      <alignment horizontal="center" vertical="center"/>
    </xf>
    <xf numFmtId="179" fontId="3" fillId="4" borderId="123" xfId="3" applyNumberFormat="1" applyFill="1" applyBorder="1" applyAlignment="1">
      <alignment horizontal="center" vertical="center"/>
    </xf>
    <xf numFmtId="172" fontId="3" fillId="3" borderId="118" xfId="3" applyNumberFormat="1" applyFill="1" applyBorder="1" applyAlignment="1">
      <alignment horizontal="center" vertical="center"/>
    </xf>
    <xf numFmtId="10" fontId="3" fillId="5" borderId="124" xfId="3" applyNumberFormat="1" applyFill="1" applyBorder="1" applyAlignment="1">
      <alignment horizontal="center" vertical="center"/>
    </xf>
    <xf numFmtId="180" fontId="11" fillId="3" borderId="125" xfId="3" applyNumberFormat="1" applyFont="1" applyFill="1" applyBorder="1" applyAlignment="1">
      <alignment horizontal="center" vertical="center"/>
    </xf>
    <xf numFmtId="0" fontId="3" fillId="0" borderId="126" xfId="3" applyBorder="1" applyAlignment="1">
      <alignment vertical="center"/>
    </xf>
    <xf numFmtId="174" fontId="3" fillId="0" borderId="0" xfId="3" applyNumberFormat="1" applyAlignment="1">
      <alignment horizontal="center" vertical="center"/>
    </xf>
    <xf numFmtId="175" fontId="3" fillId="0" borderId="0" xfId="3" applyNumberFormat="1" applyAlignment="1">
      <alignment vertical="center"/>
    </xf>
    <xf numFmtId="176" fontId="3" fillId="0" borderId="0" xfId="3" applyNumberFormat="1" applyAlignment="1">
      <alignment horizontal="center" vertical="center"/>
    </xf>
    <xf numFmtId="177" fontId="11" fillId="0" borderId="0" xfId="4" applyNumberFormat="1" applyFont="1" applyAlignment="1">
      <alignment horizontal="center" vertical="center"/>
    </xf>
    <xf numFmtId="178" fontId="3" fillId="0" borderId="0" xfId="3" applyNumberFormat="1" applyAlignment="1">
      <alignment horizontal="center" vertical="center"/>
    </xf>
    <xf numFmtId="179" fontId="3" fillId="0" borderId="0" xfId="3" applyNumberFormat="1" applyAlignment="1">
      <alignment horizontal="center" vertical="center"/>
    </xf>
    <xf numFmtId="9" fontId="3" fillId="0" borderId="45" xfId="3" applyNumberFormat="1" applyBorder="1" applyAlignment="1">
      <alignment horizontal="center" vertical="center"/>
    </xf>
    <xf numFmtId="0" fontId="3" fillId="0" borderId="99" xfId="3" applyBorder="1" applyAlignment="1">
      <alignment vertical="center"/>
    </xf>
    <xf numFmtId="0" fontId="3" fillId="0" borderId="99" xfId="3" applyBorder="1" applyAlignment="1">
      <alignment vertical="center" wrapText="1"/>
    </xf>
    <xf numFmtId="172" fontId="3" fillId="3" borderId="127" xfId="3" applyNumberFormat="1" applyFill="1" applyBorder="1" applyAlignment="1">
      <alignment horizontal="center" vertical="center"/>
    </xf>
    <xf numFmtId="0" fontId="3" fillId="0" borderId="106" xfId="3" applyBorder="1" applyAlignment="1">
      <alignment horizontal="left" vertical="center" wrapText="1"/>
    </xf>
    <xf numFmtId="175" fontId="3" fillId="5" borderId="110" xfId="3" applyNumberFormat="1" applyFill="1" applyBorder="1" applyAlignment="1">
      <alignment vertical="center"/>
    </xf>
    <xf numFmtId="172" fontId="3" fillId="3" borderId="21" xfId="3" applyNumberFormat="1" applyFill="1" applyBorder="1" applyAlignment="1">
      <alignment horizontal="center" vertical="center"/>
    </xf>
    <xf numFmtId="0" fontId="3" fillId="5" borderId="122" xfId="3" applyFill="1" applyBorder="1" applyAlignment="1">
      <alignment vertical="center"/>
    </xf>
    <xf numFmtId="172" fontId="3" fillId="3" borderId="128" xfId="3" applyNumberFormat="1" applyFill="1" applyBorder="1" applyAlignment="1">
      <alignment horizontal="center" vertical="center"/>
    </xf>
    <xf numFmtId="177" fontId="11" fillId="5" borderId="120" xfId="4" applyNumberFormat="1" applyFont="1" applyFill="1" applyBorder="1" applyAlignment="1">
      <alignment horizontal="center" vertical="center"/>
    </xf>
    <xf numFmtId="179" fontId="3" fillId="3" borderId="120" xfId="3" applyNumberFormat="1" applyFill="1" applyBorder="1" applyAlignment="1">
      <alignment horizontal="center" vertical="center"/>
    </xf>
    <xf numFmtId="172" fontId="3" fillId="3" borderId="124" xfId="3" applyNumberFormat="1" applyFill="1" applyBorder="1" applyAlignment="1">
      <alignment horizontal="center" vertical="center"/>
    </xf>
    <xf numFmtId="180" fontId="11" fillId="3" borderId="129" xfId="3" applyNumberFormat="1" applyFont="1" applyFill="1" applyBorder="1" applyAlignment="1">
      <alignment horizontal="center" vertical="center"/>
    </xf>
    <xf numFmtId="0" fontId="3" fillId="0" borderId="118" xfId="3" applyBorder="1" applyAlignment="1">
      <alignment horizontal="left" vertical="center" wrapText="1"/>
    </xf>
    <xf numFmtId="0" fontId="3" fillId="0" borderId="0" xfId="3" applyAlignment="1">
      <alignment horizontal="left" vertical="center"/>
    </xf>
    <xf numFmtId="0" fontId="3" fillId="0" borderId="0" xfId="3" applyAlignment="1">
      <alignment horizontal="center" vertical="center"/>
    </xf>
    <xf numFmtId="0" fontId="4" fillId="0" borderId="0" xfId="3" applyFont="1" applyAlignment="1">
      <alignment horizontal="left" vertical="center"/>
    </xf>
    <xf numFmtId="0" fontId="4" fillId="0" borderId="0" xfId="3" applyFont="1" applyAlignment="1">
      <alignment vertical="center"/>
    </xf>
    <xf numFmtId="0" fontId="4" fillId="0" borderId="0" xfId="3" applyFont="1" applyAlignment="1">
      <alignment horizontal="center" vertical="center"/>
    </xf>
    <xf numFmtId="0" fontId="5" fillId="0" borderId="33" xfId="3" applyFont="1" applyBorder="1" applyAlignment="1">
      <alignment horizontal="left" vertical="center"/>
    </xf>
    <xf numFmtId="0" fontId="5" fillId="0" borderId="35" xfId="3" applyFont="1" applyBorder="1" applyAlignment="1">
      <alignment horizontal="center" vertical="center"/>
    </xf>
    <xf numFmtId="0" fontId="5" fillId="0" borderId="37" xfId="3" applyFont="1" applyBorder="1" applyAlignment="1">
      <alignment horizontal="center" vertical="center"/>
    </xf>
    <xf numFmtId="0" fontId="5" fillId="0" borderId="34" xfId="3" applyFont="1" applyBorder="1" applyAlignment="1">
      <alignment horizontal="center" vertical="center"/>
    </xf>
    <xf numFmtId="0" fontId="5" fillId="0" borderId="42" xfId="3" applyFont="1" applyBorder="1" applyAlignment="1">
      <alignment horizontal="center" vertical="center"/>
    </xf>
    <xf numFmtId="0" fontId="5" fillId="0" borderId="14" xfId="3" applyFont="1" applyBorder="1" applyAlignment="1">
      <alignment vertical="center"/>
    </xf>
    <xf numFmtId="0" fontId="5" fillId="0" borderId="43" xfId="3" applyFont="1" applyBorder="1" applyAlignment="1">
      <alignment horizontal="left" vertical="center"/>
    </xf>
    <xf numFmtId="0" fontId="5" fillId="0" borderId="45" xfId="3" applyFont="1" applyBorder="1" applyAlignment="1">
      <alignment horizontal="center" vertical="center"/>
    </xf>
    <xf numFmtId="0" fontId="5" fillId="0" borderId="126" xfId="3" applyFont="1" applyBorder="1" applyAlignment="1">
      <alignment horizontal="center" vertical="center"/>
    </xf>
    <xf numFmtId="0" fontId="5" fillId="0" borderId="44" xfId="3" applyFont="1" applyBorder="1" applyAlignment="1">
      <alignment horizontal="center" vertical="center"/>
    </xf>
    <xf numFmtId="0" fontId="5" fillId="0" borderId="13" xfId="3" applyFont="1" applyBorder="1" applyAlignment="1">
      <alignment horizontal="center" vertical="center"/>
    </xf>
    <xf numFmtId="0" fontId="6" fillId="0" borderId="130" xfId="3" applyFont="1" applyBorder="1" applyAlignment="1">
      <alignment horizontal="left" vertical="center"/>
    </xf>
    <xf numFmtId="172" fontId="11" fillId="3" borderId="82" xfId="3" applyNumberFormat="1" applyFont="1" applyFill="1" applyBorder="1" applyAlignment="1">
      <alignment vertical="center"/>
    </xf>
    <xf numFmtId="172" fontId="6" fillId="3" borderId="82" xfId="3" applyNumberFormat="1" applyFont="1" applyFill="1" applyBorder="1" applyAlignment="1">
      <alignment horizontal="center" vertical="center"/>
    </xf>
    <xf numFmtId="180" fontId="13" fillId="6" borderId="11" xfId="0" applyNumberFormat="1" applyFont="1" applyFill="1" applyBorder="1" applyAlignment="1">
      <alignment horizontal="center" wrapText="1"/>
    </xf>
    <xf numFmtId="180" fontId="13" fillId="6" borderId="12" xfId="0" applyNumberFormat="1" applyFont="1" applyFill="1" applyBorder="1" applyAlignment="1">
      <alignment horizontal="center" wrapText="1"/>
    </xf>
    <xf numFmtId="172" fontId="6" fillId="3" borderId="88" xfId="3" applyNumberFormat="1" applyFont="1" applyFill="1" applyBorder="1" applyAlignment="1">
      <alignment vertical="center"/>
    </xf>
    <xf numFmtId="172" fontId="6" fillId="0" borderId="14" xfId="3" applyNumberFormat="1" applyFont="1" applyBorder="1" applyAlignment="1">
      <alignment vertical="center"/>
    </xf>
    <xf numFmtId="172" fontId="4" fillId="0" borderId="0" xfId="3" applyNumberFormat="1" applyFont="1" applyAlignment="1">
      <alignment vertical="center"/>
    </xf>
    <xf numFmtId="0" fontId="6" fillId="0" borderId="131" xfId="3" applyFont="1" applyBorder="1" applyAlignment="1">
      <alignment horizontal="left" vertical="center"/>
    </xf>
    <xf numFmtId="172" fontId="11" fillId="3" borderId="117" xfId="3" applyNumberFormat="1" applyFont="1" applyFill="1" applyBorder="1" applyAlignment="1">
      <alignment vertical="center"/>
    </xf>
    <xf numFmtId="172" fontId="6" fillId="3" borderId="117" xfId="3" applyNumberFormat="1" applyFont="1" applyFill="1" applyBorder="1" applyAlignment="1">
      <alignment horizontal="center" vertical="center"/>
    </xf>
    <xf numFmtId="180" fontId="13" fillId="6" borderId="132" xfId="0" applyNumberFormat="1" applyFont="1" applyFill="1" applyBorder="1" applyAlignment="1">
      <alignment horizontal="center" wrapText="1"/>
    </xf>
    <xf numFmtId="180" fontId="13" fillId="6" borderId="112" xfId="0" applyNumberFormat="1" applyFont="1" applyFill="1" applyBorder="1" applyAlignment="1">
      <alignment horizontal="center" wrapText="1"/>
    </xf>
    <xf numFmtId="172" fontId="6" fillId="3" borderId="113" xfId="3" applyNumberFormat="1" applyFont="1" applyFill="1" applyBorder="1" applyAlignment="1">
      <alignment vertical="center"/>
    </xf>
    <xf numFmtId="0" fontId="6" fillId="0" borderId="133" xfId="3" applyFont="1" applyBorder="1" applyAlignment="1">
      <alignment horizontal="left" vertical="center"/>
    </xf>
    <xf numFmtId="172" fontId="11" fillId="3" borderId="76" xfId="3" applyNumberFormat="1" applyFont="1" applyFill="1" applyBorder="1" applyAlignment="1">
      <alignment vertical="center"/>
    </xf>
    <xf numFmtId="172" fontId="6" fillId="3" borderId="76" xfId="3" applyNumberFormat="1" applyFont="1" applyFill="1" applyBorder="1" applyAlignment="1">
      <alignment horizontal="center" vertical="center"/>
    </xf>
    <xf numFmtId="180" fontId="13" fillId="3" borderId="26" xfId="0" applyNumberFormat="1" applyFont="1" applyFill="1" applyBorder="1" applyAlignment="1">
      <alignment horizontal="center" wrapText="1"/>
    </xf>
    <xf numFmtId="180" fontId="13" fillId="3" borderId="81" xfId="0" applyNumberFormat="1" applyFont="1" applyFill="1" applyBorder="1" applyAlignment="1">
      <alignment horizontal="center" wrapText="1"/>
    </xf>
    <xf numFmtId="172" fontId="6" fillId="3" borderId="19" xfId="3" applyNumberFormat="1" applyFont="1" applyFill="1" applyBorder="1" applyAlignment="1">
      <alignment vertical="center"/>
    </xf>
    <xf numFmtId="0" fontId="4" fillId="0" borderId="134" xfId="3" applyFont="1" applyBorder="1" applyAlignment="1">
      <alignment horizontal="left" vertical="center"/>
    </xf>
    <xf numFmtId="0" fontId="3" fillId="0" borderId="62" xfId="3" applyBorder="1" applyAlignment="1">
      <alignment horizontal="center" vertical="center"/>
    </xf>
    <xf numFmtId="172" fontId="4" fillId="0" borderId="62" xfId="3" applyNumberFormat="1" applyFont="1" applyBorder="1" applyAlignment="1">
      <alignment vertical="center"/>
    </xf>
    <xf numFmtId="180" fontId="6" fillId="3" borderId="135" xfId="1" applyNumberFormat="1" applyFont="1" applyFill="1" applyBorder="1" applyAlignment="1">
      <alignment horizontal="center" vertical="center"/>
    </xf>
    <xf numFmtId="180" fontId="6" fillId="3" borderId="114" xfId="1" applyNumberFormat="1" applyFont="1" applyFill="1" applyBorder="1" applyAlignment="1">
      <alignment horizontal="center" vertical="center"/>
    </xf>
    <xf numFmtId="172" fontId="4" fillId="3" borderId="136" xfId="3" applyNumberFormat="1" applyFont="1" applyFill="1" applyBorder="1" applyAlignment="1">
      <alignment vertical="center"/>
    </xf>
    <xf numFmtId="172" fontId="4" fillId="0" borderId="14" xfId="3" applyNumberFormat="1" applyFont="1" applyBorder="1" applyAlignment="1">
      <alignment vertical="center"/>
    </xf>
    <xf numFmtId="0" fontId="4" fillId="0" borderId="0" xfId="3" applyFont="1" applyAlignment="1">
      <alignment horizontal="right" vertical="center"/>
    </xf>
    <xf numFmtId="180" fontId="4" fillId="0" borderId="0" xfId="3" applyNumberFormat="1" applyFont="1" applyAlignment="1">
      <alignment vertical="center"/>
    </xf>
    <xf numFmtId="180" fontId="4" fillId="0" borderId="0" xfId="3" applyNumberFormat="1" applyFont="1" applyAlignment="1">
      <alignment horizontal="center" vertical="center"/>
    </xf>
    <xf numFmtId="172" fontId="4" fillId="0" borderId="0" xfId="3" applyNumberFormat="1" applyFont="1" applyAlignment="1">
      <alignment horizontal="center" vertical="center"/>
    </xf>
    <xf numFmtId="181" fontId="4" fillId="0" borderId="0" xfId="3" applyNumberFormat="1" applyFont="1" applyAlignment="1">
      <alignment horizontal="right" vertical="center"/>
    </xf>
    <xf numFmtId="10" fontId="3" fillId="0" borderId="0" xfId="3" applyNumberFormat="1" applyAlignment="1">
      <alignment horizontal="center" vertical="center"/>
    </xf>
    <xf numFmtId="0" fontId="5" fillId="0" borderId="0" xfId="3" applyFont="1" applyAlignment="1">
      <alignment horizontal="right" vertical="center"/>
    </xf>
    <xf numFmtId="0" fontId="14" fillId="0" borderId="0" xfId="2" applyFont="1" applyFill="1" applyAlignment="1">
      <alignment vertical="center"/>
    </xf>
    <xf numFmtId="180" fontId="3" fillId="0" borderId="0" xfId="3" applyNumberFormat="1" applyAlignment="1">
      <alignment horizontal="center" vertical="center"/>
    </xf>
  </cellXfs>
  <cellStyles count="5">
    <cellStyle name="Link" xfId="2" builtinId="8"/>
    <cellStyle name="Prozent" xfId="1" builtinId="5"/>
    <cellStyle name="Standard" xfId="0" builtinId="0"/>
    <cellStyle name="Standard 2" xfId="3" xr:uid="{221023F2-71C0-4005-A061-181BE7F6A0E6}"/>
    <cellStyle name="Standard 2 2 3" xfId="4" xr:uid="{FECBE608-8C80-4FEC-8B2D-D291712A48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342900</xdr:colOff>
      <xdr:row>156</xdr:row>
      <xdr:rowOff>19050</xdr:rowOff>
    </xdr:from>
    <xdr:to>
      <xdr:col>7</xdr:col>
      <xdr:colOff>619125</xdr:colOff>
      <xdr:row>161</xdr:row>
      <xdr:rowOff>161925</xdr:rowOff>
    </xdr:to>
    <xdr:sp macro="" textlink="">
      <xdr:nvSpPr>
        <xdr:cNvPr id="2" name="Geschweifte Klammer rechts 1">
          <a:extLst>
            <a:ext uri="{FF2B5EF4-FFF2-40B4-BE49-F238E27FC236}">
              <a16:creationId xmlns:a16="http://schemas.microsoft.com/office/drawing/2014/main" id="{B88CA06A-1604-4811-84A9-60DF703878D6}"/>
            </a:ext>
          </a:extLst>
        </xdr:cNvPr>
        <xdr:cNvSpPr/>
      </xdr:nvSpPr>
      <xdr:spPr>
        <a:xfrm>
          <a:off x="5067300" y="29298900"/>
          <a:ext cx="1104900" cy="1266825"/>
        </a:xfrm>
        <a:prstGeom prst="rightBrace">
          <a:avLst>
            <a:gd name="adj1" fmla="val 8333"/>
            <a:gd name="adj2" fmla="val 509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athias.schindler@lwk-niedersachsen.d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0C48-8FFB-4D40-92DE-850A5033E01A}">
  <dimension ref="A1:BG172"/>
  <sheetViews>
    <sheetView tabSelected="1" workbookViewId="0">
      <selection activeCell="P8" sqref="P8"/>
    </sheetView>
  </sheetViews>
  <sheetFormatPr baseColWidth="10" defaultRowHeight="12.75" x14ac:dyDescent="0.25"/>
  <cols>
    <col min="1" max="1" width="13.5703125" style="333" customWidth="1"/>
    <col min="2" max="2" width="13.85546875" style="13" bestFit="1" customWidth="1"/>
    <col min="3" max="3" width="12.140625" style="334" bestFit="1" customWidth="1"/>
    <col min="4" max="4" width="11.85546875" style="334" bestFit="1" customWidth="1"/>
    <col min="5" max="5" width="9.85546875" style="13" customWidth="1"/>
    <col min="6" max="6" width="9.5703125" style="13" customWidth="1"/>
    <col min="7" max="7" width="12.42578125" style="13" customWidth="1"/>
    <col min="8" max="8" width="16.140625" style="13" customWidth="1"/>
    <col min="9" max="9" width="6.5703125" style="13" bestFit="1" customWidth="1"/>
    <col min="10" max="10" width="12.5703125" style="13" bestFit="1" customWidth="1"/>
    <col min="11" max="11" width="6.5703125" style="13" bestFit="1" customWidth="1"/>
    <col min="12" max="12" width="12.5703125" style="13" bestFit="1" customWidth="1"/>
    <col min="13" max="13" width="6.5703125" style="13" bestFit="1" customWidth="1"/>
    <col min="14" max="14" width="12.5703125" style="13" bestFit="1" customWidth="1"/>
    <col min="15" max="15" width="6.5703125" style="13" bestFit="1" customWidth="1"/>
    <col min="16" max="16" width="12.5703125" style="13" bestFit="1" customWidth="1"/>
    <col min="17" max="17" width="6.5703125" style="13" bestFit="1" customWidth="1"/>
    <col min="18" max="18" width="12.5703125" style="13" bestFit="1" customWidth="1"/>
    <col min="19" max="19" width="6.5703125" style="13" bestFit="1" customWidth="1"/>
    <col min="20" max="20" width="12.5703125" style="13" bestFit="1" customWidth="1"/>
    <col min="21" max="21" width="6.5703125" style="13" bestFit="1" customWidth="1"/>
    <col min="22" max="22" width="12.5703125" style="13" bestFit="1" customWidth="1"/>
    <col min="23" max="23" width="6.5703125" style="13" bestFit="1" customWidth="1"/>
    <col min="24" max="24" width="12.5703125" style="13" bestFit="1" customWidth="1"/>
    <col min="25" max="25" width="6.5703125" style="13" bestFit="1" customWidth="1"/>
    <col min="26" max="26" width="12.5703125" style="13" bestFit="1" customWidth="1"/>
    <col min="27" max="27" width="6.5703125" style="13" bestFit="1" customWidth="1"/>
    <col min="28" max="28" width="12.5703125" style="13" bestFit="1" customWidth="1"/>
    <col min="29" max="29" width="6.5703125" style="13" bestFit="1" customWidth="1"/>
    <col min="30" max="30" width="12.5703125" style="13" bestFit="1" customWidth="1"/>
    <col min="31" max="31" width="6.5703125" style="13" bestFit="1" customWidth="1"/>
    <col min="32" max="32" width="12.5703125" style="13" bestFit="1" customWidth="1"/>
    <col min="33" max="33" width="6.5703125" style="13" bestFit="1" customWidth="1"/>
    <col min="34" max="34" width="12.5703125" style="13" bestFit="1" customWidth="1"/>
    <col min="35" max="35" width="6.5703125" style="13" bestFit="1" customWidth="1"/>
    <col min="36" max="36" width="12.5703125" style="13" bestFit="1" customWidth="1"/>
    <col min="37" max="37" width="6.5703125" style="13" bestFit="1" customWidth="1"/>
    <col min="38" max="38" width="12.5703125" style="13" bestFit="1" customWidth="1"/>
    <col min="39" max="39" width="6.5703125" style="13" bestFit="1" customWidth="1"/>
    <col min="40" max="40" width="12.5703125" style="13" bestFit="1" customWidth="1"/>
    <col min="41" max="41" width="6.5703125" style="13" bestFit="1" customWidth="1"/>
    <col min="42" max="42" width="12.5703125" style="13" bestFit="1" customWidth="1"/>
    <col min="43" max="43" width="6.5703125" style="13" bestFit="1" customWidth="1"/>
    <col min="44" max="44" width="12.5703125" style="13" bestFit="1" customWidth="1"/>
    <col min="45" max="45" width="10.140625" style="13" bestFit="1" customWidth="1"/>
    <col min="46" max="46" width="10.85546875" style="13" bestFit="1" customWidth="1"/>
    <col min="47" max="47" width="10.140625" style="13" bestFit="1" customWidth="1"/>
    <col min="48" max="48" width="9.5703125" style="13" bestFit="1" customWidth="1"/>
    <col min="49" max="49" width="8.85546875" style="13" bestFit="1" customWidth="1"/>
    <col min="50" max="50" width="10.140625" style="13" bestFit="1" customWidth="1"/>
    <col min="51" max="51" width="9.5703125" style="13" bestFit="1" customWidth="1"/>
    <col min="52" max="53" width="11.5703125" style="13" bestFit="1" customWidth="1"/>
    <col min="54" max="54" width="13.85546875" style="13" bestFit="1" customWidth="1"/>
    <col min="55" max="55" width="13" style="334" customWidth="1"/>
    <col min="56" max="56" width="14" style="13" customWidth="1"/>
    <col min="57" max="57" width="4.85546875" style="13" bestFit="1" customWidth="1"/>
    <col min="58" max="58" width="11.42578125" style="13"/>
    <col min="59" max="59" width="12.42578125" style="13" bestFit="1" customWidth="1"/>
    <col min="60" max="295" width="11.42578125" style="13"/>
    <col min="296" max="296" width="3.42578125" style="13" customWidth="1"/>
    <col min="297" max="297" width="34.42578125" style="13" customWidth="1"/>
    <col min="298" max="298" width="8.5703125" style="13" customWidth="1"/>
    <col min="299" max="299" width="20.5703125" style="13" customWidth="1"/>
    <col min="300" max="300" width="12.42578125" style="13" customWidth="1"/>
    <col min="301" max="551" width="11.42578125" style="13"/>
    <col min="552" max="552" width="3.42578125" style="13" customWidth="1"/>
    <col min="553" max="553" width="34.42578125" style="13" customWidth="1"/>
    <col min="554" max="554" width="8.5703125" style="13" customWidth="1"/>
    <col min="555" max="555" width="20.5703125" style="13" customWidth="1"/>
    <col min="556" max="556" width="12.42578125" style="13" customWidth="1"/>
    <col min="557" max="807" width="11.42578125" style="13"/>
    <col min="808" max="808" width="3.42578125" style="13" customWidth="1"/>
    <col min="809" max="809" width="34.42578125" style="13" customWidth="1"/>
    <col min="810" max="810" width="8.5703125" style="13" customWidth="1"/>
    <col min="811" max="811" width="20.5703125" style="13" customWidth="1"/>
    <col min="812" max="812" width="12.42578125" style="13" customWidth="1"/>
    <col min="813" max="1063" width="11.42578125" style="13"/>
    <col min="1064" max="1064" width="3.42578125" style="13" customWidth="1"/>
    <col min="1065" max="1065" width="34.42578125" style="13" customWidth="1"/>
    <col min="1066" max="1066" width="8.5703125" style="13" customWidth="1"/>
    <col min="1067" max="1067" width="20.5703125" style="13" customWidth="1"/>
    <col min="1068" max="1068" width="12.42578125" style="13" customWidth="1"/>
    <col min="1069" max="1319" width="11.42578125" style="13"/>
    <col min="1320" max="1320" width="3.42578125" style="13" customWidth="1"/>
    <col min="1321" max="1321" width="34.42578125" style="13" customWidth="1"/>
    <col min="1322" max="1322" width="8.5703125" style="13" customWidth="1"/>
    <col min="1323" max="1323" width="20.5703125" style="13" customWidth="1"/>
    <col min="1324" max="1324" width="12.42578125" style="13" customWidth="1"/>
    <col min="1325" max="1575" width="11.42578125" style="13"/>
    <col min="1576" max="1576" width="3.42578125" style="13" customWidth="1"/>
    <col min="1577" max="1577" width="34.42578125" style="13" customWidth="1"/>
    <col min="1578" max="1578" width="8.5703125" style="13" customWidth="1"/>
    <col min="1579" max="1579" width="20.5703125" style="13" customWidth="1"/>
    <col min="1580" max="1580" width="12.42578125" style="13" customWidth="1"/>
    <col min="1581" max="1831" width="11.42578125" style="13"/>
    <col min="1832" max="1832" width="3.42578125" style="13" customWidth="1"/>
    <col min="1833" max="1833" width="34.42578125" style="13" customWidth="1"/>
    <col min="1834" max="1834" width="8.5703125" style="13" customWidth="1"/>
    <col min="1835" max="1835" width="20.5703125" style="13" customWidth="1"/>
    <col min="1836" max="1836" width="12.42578125" style="13" customWidth="1"/>
    <col min="1837" max="2087" width="11.42578125" style="13"/>
    <col min="2088" max="2088" width="3.42578125" style="13" customWidth="1"/>
    <col min="2089" max="2089" width="34.42578125" style="13" customWidth="1"/>
    <col min="2090" max="2090" width="8.5703125" style="13" customWidth="1"/>
    <col min="2091" max="2091" width="20.5703125" style="13" customWidth="1"/>
    <col min="2092" max="2092" width="12.42578125" style="13" customWidth="1"/>
    <col min="2093" max="2343" width="11.42578125" style="13"/>
    <col min="2344" max="2344" width="3.42578125" style="13" customWidth="1"/>
    <col min="2345" max="2345" width="34.42578125" style="13" customWidth="1"/>
    <col min="2346" max="2346" width="8.5703125" style="13" customWidth="1"/>
    <col min="2347" max="2347" width="20.5703125" style="13" customWidth="1"/>
    <col min="2348" max="2348" width="12.42578125" style="13" customWidth="1"/>
    <col min="2349" max="2599" width="11.42578125" style="13"/>
    <col min="2600" max="2600" width="3.42578125" style="13" customWidth="1"/>
    <col min="2601" max="2601" width="34.42578125" style="13" customWidth="1"/>
    <col min="2602" max="2602" width="8.5703125" style="13" customWidth="1"/>
    <col min="2603" max="2603" width="20.5703125" style="13" customWidth="1"/>
    <col min="2604" max="2604" width="12.42578125" style="13" customWidth="1"/>
    <col min="2605" max="2855" width="11.42578125" style="13"/>
    <col min="2856" max="2856" width="3.42578125" style="13" customWidth="1"/>
    <col min="2857" max="2857" width="34.42578125" style="13" customWidth="1"/>
    <col min="2858" max="2858" width="8.5703125" style="13" customWidth="1"/>
    <col min="2859" max="2859" width="20.5703125" style="13" customWidth="1"/>
    <col min="2860" max="2860" width="12.42578125" style="13" customWidth="1"/>
    <col min="2861" max="3111" width="11.42578125" style="13"/>
    <col min="3112" max="3112" width="3.42578125" style="13" customWidth="1"/>
    <col min="3113" max="3113" width="34.42578125" style="13" customWidth="1"/>
    <col min="3114" max="3114" width="8.5703125" style="13" customWidth="1"/>
    <col min="3115" max="3115" width="20.5703125" style="13" customWidth="1"/>
    <col min="3116" max="3116" width="12.42578125" style="13" customWidth="1"/>
    <col min="3117" max="3367" width="11.42578125" style="13"/>
    <col min="3368" max="3368" width="3.42578125" style="13" customWidth="1"/>
    <col min="3369" max="3369" width="34.42578125" style="13" customWidth="1"/>
    <col min="3370" max="3370" width="8.5703125" style="13" customWidth="1"/>
    <col min="3371" max="3371" width="20.5703125" style="13" customWidth="1"/>
    <col min="3372" max="3372" width="12.42578125" style="13" customWidth="1"/>
    <col min="3373" max="3623" width="11.42578125" style="13"/>
    <col min="3624" max="3624" width="3.42578125" style="13" customWidth="1"/>
    <col min="3625" max="3625" width="34.42578125" style="13" customWidth="1"/>
    <col min="3626" max="3626" width="8.5703125" style="13" customWidth="1"/>
    <col min="3627" max="3627" width="20.5703125" style="13" customWidth="1"/>
    <col min="3628" max="3628" width="12.42578125" style="13" customWidth="1"/>
    <col min="3629" max="3879" width="11.42578125" style="13"/>
    <col min="3880" max="3880" width="3.42578125" style="13" customWidth="1"/>
    <col min="3881" max="3881" width="34.42578125" style="13" customWidth="1"/>
    <col min="3882" max="3882" width="8.5703125" style="13" customWidth="1"/>
    <col min="3883" max="3883" width="20.5703125" style="13" customWidth="1"/>
    <col min="3884" max="3884" width="12.42578125" style="13" customWidth="1"/>
    <col min="3885" max="4135" width="11.42578125" style="13"/>
    <col min="4136" max="4136" width="3.42578125" style="13" customWidth="1"/>
    <col min="4137" max="4137" width="34.42578125" style="13" customWidth="1"/>
    <col min="4138" max="4138" width="8.5703125" style="13" customWidth="1"/>
    <col min="4139" max="4139" width="20.5703125" style="13" customWidth="1"/>
    <col min="4140" max="4140" width="12.42578125" style="13" customWidth="1"/>
    <col min="4141" max="4391" width="11.42578125" style="13"/>
    <col min="4392" max="4392" width="3.42578125" style="13" customWidth="1"/>
    <col min="4393" max="4393" width="34.42578125" style="13" customWidth="1"/>
    <col min="4394" max="4394" width="8.5703125" style="13" customWidth="1"/>
    <col min="4395" max="4395" width="20.5703125" style="13" customWidth="1"/>
    <col min="4396" max="4396" width="12.42578125" style="13" customWidth="1"/>
    <col min="4397" max="4647" width="11.42578125" style="13"/>
    <col min="4648" max="4648" width="3.42578125" style="13" customWidth="1"/>
    <col min="4649" max="4649" width="34.42578125" style="13" customWidth="1"/>
    <col min="4650" max="4650" width="8.5703125" style="13" customWidth="1"/>
    <col min="4651" max="4651" width="20.5703125" style="13" customWidth="1"/>
    <col min="4652" max="4652" width="12.42578125" style="13" customWidth="1"/>
    <col min="4653" max="4903" width="11.42578125" style="13"/>
    <col min="4904" max="4904" width="3.42578125" style="13" customWidth="1"/>
    <col min="4905" max="4905" width="34.42578125" style="13" customWidth="1"/>
    <col min="4906" max="4906" width="8.5703125" style="13" customWidth="1"/>
    <col min="4907" max="4907" width="20.5703125" style="13" customWidth="1"/>
    <col min="4908" max="4908" width="12.42578125" style="13" customWidth="1"/>
    <col min="4909" max="5159" width="11.42578125" style="13"/>
    <col min="5160" max="5160" width="3.42578125" style="13" customWidth="1"/>
    <col min="5161" max="5161" width="34.42578125" style="13" customWidth="1"/>
    <col min="5162" max="5162" width="8.5703125" style="13" customWidth="1"/>
    <col min="5163" max="5163" width="20.5703125" style="13" customWidth="1"/>
    <col min="5164" max="5164" width="12.42578125" style="13" customWidth="1"/>
    <col min="5165" max="5415" width="11.42578125" style="13"/>
    <col min="5416" max="5416" width="3.42578125" style="13" customWidth="1"/>
    <col min="5417" max="5417" width="34.42578125" style="13" customWidth="1"/>
    <col min="5418" max="5418" width="8.5703125" style="13" customWidth="1"/>
    <col min="5419" max="5419" width="20.5703125" style="13" customWidth="1"/>
    <col min="5420" max="5420" width="12.42578125" style="13" customWidth="1"/>
    <col min="5421" max="5671" width="11.42578125" style="13"/>
    <col min="5672" max="5672" width="3.42578125" style="13" customWidth="1"/>
    <col min="5673" max="5673" width="34.42578125" style="13" customWidth="1"/>
    <col min="5674" max="5674" width="8.5703125" style="13" customWidth="1"/>
    <col min="5675" max="5675" width="20.5703125" style="13" customWidth="1"/>
    <col min="5676" max="5676" width="12.42578125" style="13" customWidth="1"/>
    <col min="5677" max="5927" width="11.42578125" style="13"/>
    <col min="5928" max="5928" width="3.42578125" style="13" customWidth="1"/>
    <col min="5929" max="5929" width="34.42578125" style="13" customWidth="1"/>
    <col min="5930" max="5930" width="8.5703125" style="13" customWidth="1"/>
    <col min="5931" max="5931" width="20.5703125" style="13" customWidth="1"/>
    <col min="5932" max="5932" width="12.42578125" style="13" customWidth="1"/>
    <col min="5933" max="6183" width="11.42578125" style="13"/>
    <col min="6184" max="6184" width="3.42578125" style="13" customWidth="1"/>
    <col min="6185" max="6185" width="34.42578125" style="13" customWidth="1"/>
    <col min="6186" max="6186" width="8.5703125" style="13" customWidth="1"/>
    <col min="6187" max="6187" width="20.5703125" style="13" customWidth="1"/>
    <col min="6188" max="6188" width="12.42578125" style="13" customWidth="1"/>
    <col min="6189" max="6439" width="11.42578125" style="13"/>
    <col min="6440" max="6440" width="3.42578125" style="13" customWidth="1"/>
    <col min="6441" max="6441" width="34.42578125" style="13" customWidth="1"/>
    <col min="6442" max="6442" width="8.5703125" style="13" customWidth="1"/>
    <col min="6443" max="6443" width="20.5703125" style="13" customWidth="1"/>
    <col min="6444" max="6444" width="12.42578125" style="13" customWidth="1"/>
    <col min="6445" max="6695" width="11.42578125" style="13"/>
    <col min="6696" max="6696" width="3.42578125" style="13" customWidth="1"/>
    <col min="6697" max="6697" width="34.42578125" style="13" customWidth="1"/>
    <col min="6698" max="6698" width="8.5703125" style="13" customWidth="1"/>
    <col min="6699" max="6699" width="20.5703125" style="13" customWidth="1"/>
    <col min="6700" max="6700" width="12.42578125" style="13" customWidth="1"/>
    <col min="6701" max="6951" width="11.42578125" style="13"/>
    <col min="6952" max="6952" width="3.42578125" style="13" customWidth="1"/>
    <col min="6953" max="6953" width="34.42578125" style="13" customWidth="1"/>
    <col min="6954" max="6954" width="8.5703125" style="13" customWidth="1"/>
    <col min="6955" max="6955" width="20.5703125" style="13" customWidth="1"/>
    <col min="6956" max="6956" width="12.42578125" style="13" customWidth="1"/>
    <col min="6957" max="7207" width="11.42578125" style="13"/>
    <col min="7208" max="7208" width="3.42578125" style="13" customWidth="1"/>
    <col min="7209" max="7209" width="34.42578125" style="13" customWidth="1"/>
    <col min="7210" max="7210" width="8.5703125" style="13" customWidth="1"/>
    <col min="7211" max="7211" width="20.5703125" style="13" customWidth="1"/>
    <col min="7212" max="7212" width="12.42578125" style="13" customWidth="1"/>
    <col min="7213" max="7463" width="11.42578125" style="13"/>
    <col min="7464" max="7464" width="3.42578125" style="13" customWidth="1"/>
    <col min="7465" max="7465" width="34.42578125" style="13" customWidth="1"/>
    <col min="7466" max="7466" width="8.5703125" style="13" customWidth="1"/>
    <col min="7467" max="7467" width="20.5703125" style="13" customWidth="1"/>
    <col min="7468" max="7468" width="12.42578125" style="13" customWidth="1"/>
    <col min="7469" max="7719" width="11.42578125" style="13"/>
    <col min="7720" max="7720" width="3.42578125" style="13" customWidth="1"/>
    <col min="7721" max="7721" width="34.42578125" style="13" customWidth="1"/>
    <col min="7722" max="7722" width="8.5703125" style="13" customWidth="1"/>
    <col min="7723" max="7723" width="20.5703125" style="13" customWidth="1"/>
    <col min="7724" max="7724" width="12.42578125" style="13" customWidth="1"/>
    <col min="7725" max="7975" width="11.42578125" style="13"/>
    <col min="7976" max="7976" width="3.42578125" style="13" customWidth="1"/>
    <col min="7977" max="7977" width="34.42578125" style="13" customWidth="1"/>
    <col min="7978" max="7978" width="8.5703125" style="13" customWidth="1"/>
    <col min="7979" max="7979" width="20.5703125" style="13" customWidth="1"/>
    <col min="7980" max="7980" width="12.42578125" style="13" customWidth="1"/>
    <col min="7981" max="8231" width="11.42578125" style="13"/>
    <col min="8232" max="8232" width="3.42578125" style="13" customWidth="1"/>
    <col min="8233" max="8233" width="34.42578125" style="13" customWidth="1"/>
    <col min="8234" max="8234" width="8.5703125" style="13" customWidth="1"/>
    <col min="8235" max="8235" width="20.5703125" style="13" customWidth="1"/>
    <col min="8236" max="8236" width="12.42578125" style="13" customWidth="1"/>
    <col min="8237" max="8487" width="11.42578125" style="13"/>
    <col min="8488" max="8488" width="3.42578125" style="13" customWidth="1"/>
    <col min="8489" max="8489" width="34.42578125" style="13" customWidth="1"/>
    <col min="8490" max="8490" width="8.5703125" style="13" customWidth="1"/>
    <col min="8491" max="8491" width="20.5703125" style="13" customWidth="1"/>
    <col min="8492" max="8492" width="12.42578125" style="13" customWidth="1"/>
    <col min="8493" max="8743" width="11.42578125" style="13"/>
    <col min="8744" max="8744" width="3.42578125" style="13" customWidth="1"/>
    <col min="8745" max="8745" width="34.42578125" style="13" customWidth="1"/>
    <col min="8746" max="8746" width="8.5703125" style="13" customWidth="1"/>
    <col min="8747" max="8747" width="20.5703125" style="13" customWidth="1"/>
    <col min="8748" max="8748" width="12.42578125" style="13" customWidth="1"/>
    <col min="8749" max="8999" width="11.42578125" style="13"/>
    <col min="9000" max="9000" width="3.42578125" style="13" customWidth="1"/>
    <col min="9001" max="9001" width="34.42578125" style="13" customWidth="1"/>
    <col min="9002" max="9002" width="8.5703125" style="13" customWidth="1"/>
    <col min="9003" max="9003" width="20.5703125" style="13" customWidth="1"/>
    <col min="9004" max="9004" width="12.42578125" style="13" customWidth="1"/>
    <col min="9005" max="9255" width="11.42578125" style="13"/>
    <col min="9256" max="9256" width="3.42578125" style="13" customWidth="1"/>
    <col min="9257" max="9257" width="34.42578125" style="13" customWidth="1"/>
    <col min="9258" max="9258" width="8.5703125" style="13" customWidth="1"/>
    <col min="9259" max="9259" width="20.5703125" style="13" customWidth="1"/>
    <col min="9260" max="9260" width="12.42578125" style="13" customWidth="1"/>
    <col min="9261" max="9511" width="11.42578125" style="13"/>
    <col min="9512" max="9512" width="3.42578125" style="13" customWidth="1"/>
    <col min="9513" max="9513" width="34.42578125" style="13" customWidth="1"/>
    <col min="9514" max="9514" width="8.5703125" style="13" customWidth="1"/>
    <col min="9515" max="9515" width="20.5703125" style="13" customWidth="1"/>
    <col min="9516" max="9516" width="12.42578125" style="13" customWidth="1"/>
    <col min="9517" max="9767" width="11.42578125" style="13"/>
    <col min="9768" max="9768" width="3.42578125" style="13" customWidth="1"/>
    <col min="9769" max="9769" width="34.42578125" style="13" customWidth="1"/>
    <col min="9770" max="9770" width="8.5703125" style="13" customWidth="1"/>
    <col min="9771" max="9771" width="20.5703125" style="13" customWidth="1"/>
    <col min="9772" max="9772" width="12.42578125" style="13" customWidth="1"/>
    <col min="9773" max="10023" width="11.42578125" style="13"/>
    <col min="10024" max="10024" width="3.42578125" style="13" customWidth="1"/>
    <col min="10025" max="10025" width="34.42578125" style="13" customWidth="1"/>
    <col min="10026" max="10026" width="8.5703125" style="13" customWidth="1"/>
    <col min="10027" max="10027" width="20.5703125" style="13" customWidth="1"/>
    <col min="10028" max="10028" width="12.42578125" style="13" customWidth="1"/>
    <col min="10029" max="10279" width="11.42578125" style="13"/>
    <col min="10280" max="10280" width="3.42578125" style="13" customWidth="1"/>
    <col min="10281" max="10281" width="34.42578125" style="13" customWidth="1"/>
    <col min="10282" max="10282" width="8.5703125" style="13" customWidth="1"/>
    <col min="10283" max="10283" width="20.5703125" style="13" customWidth="1"/>
    <col min="10284" max="10284" width="12.42578125" style="13" customWidth="1"/>
    <col min="10285" max="10535" width="11.42578125" style="13"/>
    <col min="10536" max="10536" width="3.42578125" style="13" customWidth="1"/>
    <col min="10537" max="10537" width="34.42578125" style="13" customWidth="1"/>
    <col min="10538" max="10538" width="8.5703125" style="13" customWidth="1"/>
    <col min="10539" max="10539" width="20.5703125" style="13" customWidth="1"/>
    <col min="10540" max="10540" width="12.42578125" style="13" customWidth="1"/>
    <col min="10541" max="10791" width="11.42578125" style="13"/>
    <col min="10792" max="10792" width="3.42578125" style="13" customWidth="1"/>
    <col min="10793" max="10793" width="34.42578125" style="13" customWidth="1"/>
    <col min="10794" max="10794" width="8.5703125" style="13" customWidth="1"/>
    <col min="10795" max="10795" width="20.5703125" style="13" customWidth="1"/>
    <col min="10796" max="10796" width="12.42578125" style="13" customWidth="1"/>
    <col min="10797" max="11047" width="11.42578125" style="13"/>
    <col min="11048" max="11048" width="3.42578125" style="13" customWidth="1"/>
    <col min="11049" max="11049" width="34.42578125" style="13" customWidth="1"/>
    <col min="11050" max="11050" width="8.5703125" style="13" customWidth="1"/>
    <col min="11051" max="11051" width="20.5703125" style="13" customWidth="1"/>
    <col min="11052" max="11052" width="12.42578125" style="13" customWidth="1"/>
    <col min="11053" max="11303" width="11.42578125" style="13"/>
    <col min="11304" max="11304" width="3.42578125" style="13" customWidth="1"/>
    <col min="11305" max="11305" width="34.42578125" style="13" customWidth="1"/>
    <col min="11306" max="11306" width="8.5703125" style="13" customWidth="1"/>
    <col min="11307" max="11307" width="20.5703125" style="13" customWidth="1"/>
    <col min="11308" max="11308" width="12.42578125" style="13" customWidth="1"/>
    <col min="11309" max="11559" width="11.42578125" style="13"/>
    <col min="11560" max="11560" width="3.42578125" style="13" customWidth="1"/>
    <col min="11561" max="11561" width="34.42578125" style="13" customWidth="1"/>
    <col min="11562" max="11562" width="8.5703125" style="13" customWidth="1"/>
    <col min="11563" max="11563" width="20.5703125" style="13" customWidth="1"/>
    <col min="11564" max="11564" width="12.42578125" style="13" customWidth="1"/>
    <col min="11565" max="11815" width="11.42578125" style="13"/>
    <col min="11816" max="11816" width="3.42578125" style="13" customWidth="1"/>
    <col min="11817" max="11817" width="34.42578125" style="13" customWidth="1"/>
    <col min="11818" max="11818" width="8.5703125" style="13" customWidth="1"/>
    <col min="11819" max="11819" width="20.5703125" style="13" customWidth="1"/>
    <col min="11820" max="11820" width="12.42578125" style="13" customWidth="1"/>
    <col min="11821" max="12071" width="11.42578125" style="13"/>
    <col min="12072" max="12072" width="3.42578125" style="13" customWidth="1"/>
    <col min="12073" max="12073" width="34.42578125" style="13" customWidth="1"/>
    <col min="12074" max="12074" width="8.5703125" style="13" customWidth="1"/>
    <col min="12075" max="12075" width="20.5703125" style="13" customWidth="1"/>
    <col min="12076" max="12076" width="12.42578125" style="13" customWidth="1"/>
    <col min="12077" max="12327" width="11.42578125" style="13"/>
    <col min="12328" max="12328" width="3.42578125" style="13" customWidth="1"/>
    <col min="12329" max="12329" width="34.42578125" style="13" customWidth="1"/>
    <col min="12330" max="12330" width="8.5703125" style="13" customWidth="1"/>
    <col min="12331" max="12331" width="20.5703125" style="13" customWidth="1"/>
    <col min="12332" max="12332" width="12.42578125" style="13" customWidth="1"/>
    <col min="12333" max="12583" width="11.42578125" style="13"/>
    <col min="12584" max="12584" width="3.42578125" style="13" customWidth="1"/>
    <col min="12585" max="12585" width="34.42578125" style="13" customWidth="1"/>
    <col min="12586" max="12586" width="8.5703125" style="13" customWidth="1"/>
    <col min="12587" max="12587" width="20.5703125" style="13" customWidth="1"/>
    <col min="12588" max="12588" width="12.42578125" style="13" customWidth="1"/>
    <col min="12589" max="12839" width="11.42578125" style="13"/>
    <col min="12840" max="12840" width="3.42578125" style="13" customWidth="1"/>
    <col min="12841" max="12841" width="34.42578125" style="13" customWidth="1"/>
    <col min="12842" max="12842" width="8.5703125" style="13" customWidth="1"/>
    <col min="12843" max="12843" width="20.5703125" style="13" customWidth="1"/>
    <col min="12844" max="12844" width="12.42578125" style="13" customWidth="1"/>
    <col min="12845" max="13095" width="11.42578125" style="13"/>
    <col min="13096" max="13096" width="3.42578125" style="13" customWidth="1"/>
    <col min="13097" max="13097" width="34.42578125" style="13" customWidth="1"/>
    <col min="13098" max="13098" width="8.5703125" style="13" customWidth="1"/>
    <col min="13099" max="13099" width="20.5703125" style="13" customWidth="1"/>
    <col min="13100" max="13100" width="12.42578125" style="13" customWidth="1"/>
    <col min="13101" max="13351" width="11.42578125" style="13"/>
    <col min="13352" max="13352" width="3.42578125" style="13" customWidth="1"/>
    <col min="13353" max="13353" width="34.42578125" style="13" customWidth="1"/>
    <col min="13354" max="13354" width="8.5703125" style="13" customWidth="1"/>
    <col min="13355" max="13355" width="20.5703125" style="13" customWidth="1"/>
    <col min="13356" max="13356" width="12.42578125" style="13" customWidth="1"/>
    <col min="13357" max="13607" width="11.42578125" style="13"/>
    <col min="13608" max="13608" width="3.42578125" style="13" customWidth="1"/>
    <col min="13609" max="13609" width="34.42578125" style="13" customWidth="1"/>
    <col min="13610" max="13610" width="8.5703125" style="13" customWidth="1"/>
    <col min="13611" max="13611" width="20.5703125" style="13" customWidth="1"/>
    <col min="13612" max="13612" width="12.42578125" style="13" customWidth="1"/>
    <col min="13613" max="13863" width="11.42578125" style="13"/>
    <col min="13864" max="13864" width="3.42578125" style="13" customWidth="1"/>
    <col min="13865" max="13865" width="34.42578125" style="13" customWidth="1"/>
    <col min="13866" max="13866" width="8.5703125" style="13" customWidth="1"/>
    <col min="13867" max="13867" width="20.5703125" style="13" customWidth="1"/>
    <col min="13868" max="13868" width="12.42578125" style="13" customWidth="1"/>
    <col min="13869" max="14119" width="11.42578125" style="13"/>
    <col min="14120" max="14120" width="3.42578125" style="13" customWidth="1"/>
    <col min="14121" max="14121" width="34.42578125" style="13" customWidth="1"/>
    <col min="14122" max="14122" width="8.5703125" style="13" customWidth="1"/>
    <col min="14123" max="14123" width="20.5703125" style="13" customWidth="1"/>
    <col min="14124" max="14124" width="12.42578125" style="13" customWidth="1"/>
    <col min="14125" max="14375" width="11.42578125" style="13"/>
    <col min="14376" max="14376" width="3.42578125" style="13" customWidth="1"/>
    <col min="14377" max="14377" width="34.42578125" style="13" customWidth="1"/>
    <col min="14378" max="14378" width="8.5703125" style="13" customWidth="1"/>
    <col min="14379" max="14379" width="20.5703125" style="13" customWidth="1"/>
    <col min="14380" max="14380" width="12.42578125" style="13" customWidth="1"/>
    <col min="14381" max="14631" width="11.42578125" style="13"/>
    <col min="14632" max="14632" width="3.42578125" style="13" customWidth="1"/>
    <col min="14633" max="14633" width="34.42578125" style="13" customWidth="1"/>
    <col min="14634" max="14634" width="8.5703125" style="13" customWidth="1"/>
    <col min="14635" max="14635" width="20.5703125" style="13" customWidth="1"/>
    <col min="14636" max="14636" width="12.42578125" style="13" customWidth="1"/>
    <col min="14637" max="14887" width="11.42578125" style="13"/>
    <col min="14888" max="14888" width="3.42578125" style="13" customWidth="1"/>
    <col min="14889" max="14889" width="34.42578125" style="13" customWidth="1"/>
    <col min="14890" max="14890" width="8.5703125" style="13" customWidth="1"/>
    <col min="14891" max="14891" width="20.5703125" style="13" customWidth="1"/>
    <col min="14892" max="14892" width="12.42578125" style="13" customWidth="1"/>
    <col min="14893" max="15143" width="11.42578125" style="13"/>
    <col min="15144" max="15144" width="3.42578125" style="13" customWidth="1"/>
    <col min="15145" max="15145" width="34.42578125" style="13" customWidth="1"/>
    <col min="15146" max="15146" width="8.5703125" style="13" customWidth="1"/>
    <col min="15147" max="15147" width="20.5703125" style="13" customWidth="1"/>
    <col min="15148" max="15148" width="12.42578125" style="13" customWidth="1"/>
    <col min="15149" max="15399" width="11.42578125" style="13"/>
    <col min="15400" max="15400" width="3.42578125" style="13" customWidth="1"/>
    <col min="15401" max="15401" width="34.42578125" style="13" customWidth="1"/>
    <col min="15402" max="15402" width="8.5703125" style="13" customWidth="1"/>
    <col min="15403" max="15403" width="20.5703125" style="13" customWidth="1"/>
    <col min="15404" max="15404" width="12.42578125" style="13" customWidth="1"/>
    <col min="15405" max="15655" width="11.42578125" style="13"/>
    <col min="15656" max="15656" width="3.42578125" style="13" customWidth="1"/>
    <col min="15657" max="15657" width="34.42578125" style="13" customWidth="1"/>
    <col min="15658" max="15658" width="8.5703125" style="13" customWidth="1"/>
    <col min="15659" max="15659" width="20.5703125" style="13" customWidth="1"/>
    <col min="15660" max="15660" width="12.42578125" style="13" customWidth="1"/>
    <col min="15661" max="15911" width="11.42578125" style="13"/>
    <col min="15912" max="15912" width="3.42578125" style="13" customWidth="1"/>
    <col min="15913" max="15913" width="34.42578125" style="13" customWidth="1"/>
    <col min="15914" max="15914" width="8.5703125" style="13" customWidth="1"/>
    <col min="15915" max="15915" width="20.5703125" style="13" customWidth="1"/>
    <col min="15916" max="15916" width="12.42578125" style="13" customWidth="1"/>
    <col min="15917" max="16167" width="11.42578125" style="13"/>
    <col min="16168" max="16168" width="3.42578125" style="13" customWidth="1"/>
    <col min="16169" max="16169" width="34.42578125" style="13" customWidth="1"/>
    <col min="16170" max="16170" width="8.5703125" style="13" customWidth="1"/>
    <col min="16171" max="16171" width="20.5703125" style="13" customWidth="1"/>
    <col min="16172" max="16172" width="12.42578125" style="13" customWidth="1"/>
    <col min="16173" max="16384" width="11.42578125" style="13"/>
  </cols>
  <sheetData>
    <row r="1" spans="1:56" s="2" customFormat="1" ht="18"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56" s="2" customFormat="1" ht="15.75" x14ac:dyDescent="0.25">
      <c r="A2" s="3" t="s">
        <v>1</v>
      </c>
      <c r="B2" s="3"/>
      <c r="C2" s="3"/>
      <c r="D2" s="3"/>
      <c r="E2" s="3"/>
      <c r="F2" s="3"/>
      <c r="G2" s="3"/>
      <c r="H2" s="3"/>
      <c r="I2" s="3"/>
      <c r="J2" s="3"/>
      <c r="K2" s="3"/>
      <c r="L2" s="3"/>
      <c r="M2" s="3"/>
      <c r="N2" s="3"/>
      <c r="O2" s="3"/>
      <c r="P2" s="3"/>
    </row>
    <row r="3" spans="1:56" s="2" customFormat="1" ht="18.95" customHeight="1" x14ac:dyDescent="0.25">
      <c r="A3" s="3" t="s">
        <v>2</v>
      </c>
      <c r="B3" s="3"/>
      <c r="C3" s="3"/>
      <c r="D3" s="3"/>
      <c r="E3" s="3"/>
      <c r="F3" s="3"/>
      <c r="G3" s="3"/>
      <c r="H3" s="3"/>
      <c r="I3" s="3"/>
      <c r="J3" s="3"/>
      <c r="K3" s="3"/>
      <c r="L3" s="3"/>
      <c r="M3" s="3"/>
      <c r="N3" s="3"/>
      <c r="O3" s="3"/>
      <c r="P3" s="3"/>
      <c r="R3" s="4" t="s">
        <v>3</v>
      </c>
    </row>
    <row r="4" spans="1:56" s="2" customFormat="1" ht="5.45" customHeight="1" x14ac:dyDescent="0.25"/>
    <row r="5" spans="1:56" s="2" customFormat="1" ht="34.5" customHeight="1" thickBot="1" x14ac:dyDescent="0.3">
      <c r="A5" s="5" t="s">
        <v>4</v>
      </c>
      <c r="B5" s="5"/>
      <c r="C5" s="5"/>
      <c r="D5" s="5"/>
      <c r="E5" s="5"/>
      <c r="F5" s="5"/>
      <c r="G5" s="5"/>
      <c r="H5" s="5"/>
      <c r="I5" s="5"/>
      <c r="J5" s="5"/>
      <c r="K5" s="5"/>
      <c r="L5" s="5"/>
      <c r="M5" s="5"/>
      <c r="N5" s="5"/>
      <c r="O5" s="5"/>
      <c r="P5" s="5"/>
    </row>
    <row r="6" spans="1:56" ht="15.6" customHeight="1" x14ac:dyDescent="0.25">
      <c r="A6" s="6" t="s">
        <v>5</v>
      </c>
      <c r="B6" s="7"/>
      <c r="C6" s="8" t="s">
        <v>6</v>
      </c>
      <c r="D6" s="9" t="s">
        <v>7</v>
      </c>
      <c r="E6" s="10" t="s">
        <v>8</v>
      </c>
      <c r="F6" s="11"/>
      <c r="G6" s="12" t="s">
        <v>9</v>
      </c>
      <c r="I6" s="14" t="s">
        <v>10</v>
      </c>
      <c r="J6" s="14"/>
      <c r="K6" s="14"/>
      <c r="L6" s="14"/>
      <c r="M6" s="15"/>
      <c r="N6" s="16" t="s">
        <v>11</v>
      </c>
      <c r="O6" s="16"/>
      <c r="P6" s="17" t="s">
        <v>12</v>
      </c>
      <c r="Q6" s="17"/>
      <c r="AS6" s="18" t="s">
        <v>13</v>
      </c>
      <c r="AT6" s="18"/>
      <c r="AU6" s="18"/>
      <c r="AV6" s="18"/>
      <c r="AW6" s="18"/>
      <c r="AX6" s="18"/>
      <c r="AY6" s="18"/>
      <c r="AZ6" s="18"/>
      <c r="BA6" s="18"/>
      <c r="BB6" s="14" t="s">
        <v>10</v>
      </c>
      <c r="BC6" s="14"/>
      <c r="BD6" s="14"/>
    </row>
    <row r="7" spans="1:56" ht="15.75" x14ac:dyDescent="0.25">
      <c r="A7" s="19" t="s">
        <v>14</v>
      </c>
      <c r="B7" s="20" t="s">
        <v>15</v>
      </c>
      <c r="C7" s="21">
        <v>1</v>
      </c>
      <c r="D7" s="22">
        <v>1350</v>
      </c>
      <c r="E7" s="23">
        <f>10.68*1.19/480</f>
        <v>2.6477499999999998E-2</v>
      </c>
      <c r="F7" s="24"/>
      <c r="G7" s="25">
        <f>C7*D7*E7</f>
        <v>35.744624999999999</v>
      </c>
      <c r="I7" s="14"/>
      <c r="J7" s="14"/>
      <c r="K7" s="14"/>
      <c r="L7" s="14"/>
      <c r="M7" s="26"/>
      <c r="R7" s="2"/>
      <c r="S7" s="2"/>
      <c r="AD7" s="2"/>
      <c r="AE7" s="2"/>
      <c r="AF7" s="2"/>
      <c r="AG7" s="2"/>
      <c r="AH7" s="2"/>
      <c r="AI7" s="2"/>
      <c r="AJ7" s="2"/>
      <c r="AK7" s="2"/>
      <c r="AL7" s="2"/>
      <c r="AM7" s="2"/>
      <c r="AN7" s="2"/>
      <c r="AO7" s="2"/>
      <c r="AP7" s="2"/>
      <c r="AQ7" s="2"/>
      <c r="AR7" s="2"/>
      <c r="AS7" s="18"/>
      <c r="AT7" s="18"/>
      <c r="AU7" s="18"/>
      <c r="AV7" s="18"/>
      <c r="AW7" s="18"/>
      <c r="AX7" s="18"/>
      <c r="AY7" s="18"/>
      <c r="AZ7" s="18"/>
      <c r="BA7" s="18"/>
      <c r="BB7" s="14"/>
      <c r="BC7" s="14"/>
      <c r="BD7" s="14"/>
    </row>
    <row r="8" spans="1:56" ht="14.45" customHeight="1" x14ac:dyDescent="0.25">
      <c r="A8" s="27" t="s">
        <v>16</v>
      </c>
      <c r="B8" s="13" t="s">
        <v>17</v>
      </c>
      <c r="C8" s="28">
        <f>C7</f>
        <v>1</v>
      </c>
      <c r="D8" s="29">
        <v>1</v>
      </c>
      <c r="E8" s="30">
        <v>10.42</v>
      </c>
      <c r="F8" s="31"/>
      <c r="G8" s="32">
        <f>E8*D8*C8</f>
        <v>10.42</v>
      </c>
      <c r="I8" s="14"/>
      <c r="J8" s="14"/>
      <c r="K8" s="14"/>
      <c r="L8" s="14"/>
      <c r="M8" s="26"/>
      <c r="AS8" s="18"/>
      <c r="AT8" s="18"/>
      <c r="AU8" s="18"/>
      <c r="AV8" s="18"/>
      <c r="AW8" s="18"/>
      <c r="AX8" s="18"/>
      <c r="AY8" s="18"/>
      <c r="AZ8" s="18"/>
      <c r="BA8" s="18"/>
      <c r="BB8" s="14"/>
      <c r="BC8" s="14"/>
      <c r="BD8" s="14"/>
    </row>
    <row r="9" spans="1:56" ht="15.6" customHeight="1" x14ac:dyDescent="0.25">
      <c r="A9" s="27" t="s">
        <v>18</v>
      </c>
      <c r="B9" s="33">
        <v>23.5</v>
      </c>
      <c r="C9" s="28">
        <f>C8</f>
        <v>1</v>
      </c>
      <c r="D9" s="34">
        <v>0.15</v>
      </c>
      <c r="E9" s="35">
        <f>B9</f>
        <v>23.5</v>
      </c>
      <c r="F9" s="36"/>
      <c r="G9" s="25">
        <f>E9*D9*C9</f>
        <v>3.5249999999999999</v>
      </c>
      <c r="I9" s="37" t="s">
        <v>19</v>
      </c>
      <c r="J9" s="37"/>
      <c r="K9" s="37"/>
      <c r="L9" s="37"/>
      <c r="M9" s="26"/>
      <c r="AS9" s="18"/>
      <c r="AT9" s="18"/>
      <c r="AU9" s="18"/>
      <c r="AV9" s="18"/>
      <c r="AW9" s="18"/>
      <c r="AX9" s="18"/>
      <c r="AY9" s="18"/>
      <c r="AZ9" s="18"/>
      <c r="BA9" s="18"/>
      <c r="BB9" s="37" t="s">
        <v>19</v>
      </c>
      <c r="BC9" s="37"/>
      <c r="BD9" s="37"/>
    </row>
    <row r="10" spans="1:56" ht="15.6" customHeight="1" x14ac:dyDescent="0.25">
      <c r="A10" s="38" t="s">
        <v>20</v>
      </c>
      <c r="B10" s="39"/>
      <c r="C10" s="40"/>
      <c r="D10" s="41"/>
      <c r="E10" s="42"/>
      <c r="F10" s="43"/>
      <c r="G10" s="44">
        <f>E10*D10*C10</f>
        <v>0</v>
      </c>
      <c r="I10" s="37"/>
      <c r="J10" s="37"/>
      <c r="K10" s="37"/>
      <c r="L10" s="37"/>
      <c r="M10" s="26"/>
      <c r="AD10" s="45"/>
      <c r="AE10" s="45"/>
      <c r="AS10" s="18"/>
      <c r="AT10" s="18"/>
      <c r="AU10" s="18"/>
      <c r="AV10" s="18"/>
      <c r="AW10" s="18"/>
      <c r="AX10" s="18"/>
      <c r="AY10" s="18"/>
      <c r="AZ10" s="18"/>
      <c r="BA10" s="18"/>
      <c r="BB10" s="37"/>
      <c r="BC10" s="37"/>
      <c r="BD10" s="37"/>
    </row>
    <row r="11" spans="1:56" ht="17.100000000000001" customHeight="1" thickBot="1" x14ac:dyDescent="0.3">
      <c r="A11" s="46" t="s">
        <v>21</v>
      </c>
      <c r="B11" s="47"/>
      <c r="C11" s="48"/>
      <c r="D11" s="48"/>
      <c r="E11" s="49"/>
      <c r="F11" s="49"/>
      <c r="G11" s="50">
        <f>SUM(G7:G10)</f>
        <v>49.689624999999999</v>
      </c>
      <c r="I11" s="51"/>
      <c r="J11" s="51"/>
      <c r="K11" s="51"/>
      <c r="L11" s="51"/>
      <c r="M11" s="52"/>
      <c r="AS11" s="53"/>
      <c r="AT11" s="53"/>
      <c r="AU11" s="53"/>
      <c r="AV11" s="53"/>
      <c r="AW11" s="53"/>
      <c r="AX11" s="53"/>
      <c r="AY11" s="53"/>
      <c r="AZ11" s="53"/>
      <c r="BA11" s="53"/>
      <c r="BB11" s="51"/>
      <c r="BC11" s="51"/>
      <c r="BD11" s="51"/>
    </row>
    <row r="12" spans="1:56" ht="15" customHeight="1" x14ac:dyDescent="0.25">
      <c r="A12" s="54" t="s">
        <v>22</v>
      </c>
      <c r="B12" s="55" t="s">
        <v>23</v>
      </c>
      <c r="C12" s="56" t="s">
        <v>24</v>
      </c>
      <c r="D12" s="57" t="s">
        <v>25</v>
      </c>
      <c r="E12" s="58" t="s">
        <v>26</v>
      </c>
      <c r="F12" s="59"/>
      <c r="G12" s="59"/>
      <c r="H12" s="60"/>
      <c r="I12" s="61" t="s">
        <v>27</v>
      </c>
      <c r="J12" s="62"/>
      <c r="K12" s="62"/>
      <c r="L12" s="63"/>
      <c r="M12" s="61" t="s">
        <v>28</v>
      </c>
      <c r="N12" s="62"/>
      <c r="O12" s="62"/>
      <c r="P12" s="63"/>
      <c r="Q12" s="61" t="s">
        <v>29</v>
      </c>
      <c r="R12" s="62"/>
      <c r="S12" s="62"/>
      <c r="T12" s="63"/>
      <c r="U12" s="61" t="s">
        <v>30</v>
      </c>
      <c r="V12" s="62"/>
      <c r="W12" s="62"/>
      <c r="X12" s="63"/>
      <c r="Y12" s="61" t="s">
        <v>31</v>
      </c>
      <c r="Z12" s="62"/>
      <c r="AA12" s="62"/>
      <c r="AB12" s="63"/>
      <c r="AC12" s="61" t="s">
        <v>32</v>
      </c>
      <c r="AD12" s="62"/>
      <c r="AE12" s="62"/>
      <c r="AF12" s="63"/>
      <c r="AG12" s="61" t="s">
        <v>33</v>
      </c>
      <c r="AH12" s="62"/>
      <c r="AI12" s="62"/>
      <c r="AJ12" s="63"/>
      <c r="AK12" s="61" t="s">
        <v>33</v>
      </c>
      <c r="AL12" s="62"/>
      <c r="AM12" s="62"/>
      <c r="AN12" s="63"/>
      <c r="AO12" s="61" t="s">
        <v>33</v>
      </c>
      <c r="AP12" s="62"/>
      <c r="AQ12" s="62"/>
      <c r="AR12" s="63"/>
      <c r="AS12" s="64" t="s">
        <v>34</v>
      </c>
      <c r="AT12" s="65"/>
      <c r="AU12" s="65"/>
      <c r="AV12" s="66"/>
      <c r="AW12" s="67" t="s">
        <v>35</v>
      </c>
      <c r="AX12" s="68"/>
      <c r="AY12" s="69"/>
      <c r="AZ12" s="70" t="s">
        <v>36</v>
      </c>
      <c r="BA12" s="70"/>
      <c r="BB12" s="71" t="s">
        <v>37</v>
      </c>
      <c r="BC12" s="71" t="s">
        <v>38</v>
      </c>
      <c r="BD12" s="72" t="s">
        <v>39</v>
      </c>
    </row>
    <row r="13" spans="1:56" ht="15" customHeight="1" x14ac:dyDescent="0.25">
      <c r="A13" s="73"/>
      <c r="B13" s="74" t="s">
        <v>40</v>
      </c>
      <c r="C13" s="75"/>
      <c r="D13" s="76" t="s">
        <v>41</v>
      </c>
      <c r="E13" s="77" t="s">
        <v>42</v>
      </c>
      <c r="F13" s="78" t="s">
        <v>7</v>
      </c>
      <c r="G13" s="79" t="s">
        <v>8</v>
      </c>
      <c r="H13" s="80" t="s">
        <v>43</v>
      </c>
      <c r="I13" s="81">
        <v>1</v>
      </c>
      <c r="J13" s="82"/>
      <c r="K13" s="83">
        <v>114.13</v>
      </c>
      <c r="L13" s="84"/>
      <c r="M13" s="81">
        <v>0.45</v>
      </c>
      <c r="N13" s="82"/>
      <c r="O13" s="85">
        <v>38.06</v>
      </c>
      <c r="P13" s="84"/>
      <c r="Q13" s="81">
        <v>0.43478260869565222</v>
      </c>
      <c r="R13" s="86"/>
      <c r="S13" s="83">
        <v>36.274176720788027</v>
      </c>
      <c r="T13" s="84"/>
      <c r="U13" s="81">
        <v>0.14405762304921968</v>
      </c>
      <c r="V13" s="82"/>
      <c r="W13" s="85">
        <v>12.93</v>
      </c>
      <c r="X13" s="84"/>
      <c r="Y13" s="81">
        <v>0.47619047619047616</v>
      </c>
      <c r="Z13" s="86"/>
      <c r="AA13" s="83">
        <v>41.63</v>
      </c>
      <c r="AB13" s="84"/>
      <c r="AC13" s="81">
        <v>0.48076923076923073</v>
      </c>
      <c r="AD13" s="82"/>
      <c r="AE13" s="85">
        <v>37.232984313449123</v>
      </c>
      <c r="AF13" s="84"/>
      <c r="AG13" s="81">
        <v>9.9999999999999995E-7</v>
      </c>
      <c r="AH13" s="82"/>
      <c r="AI13" s="85">
        <v>1E-8</v>
      </c>
      <c r="AJ13" s="84"/>
      <c r="AK13" s="81">
        <v>0</v>
      </c>
      <c r="AL13" s="82"/>
      <c r="AM13" s="85">
        <v>1E-8</v>
      </c>
      <c r="AN13" s="84"/>
      <c r="AO13" s="81">
        <v>9.9999999999999995E-7</v>
      </c>
      <c r="AP13" s="82"/>
      <c r="AQ13" s="83">
        <v>1E-8</v>
      </c>
      <c r="AR13" s="84"/>
      <c r="AS13" s="87" t="s">
        <v>44</v>
      </c>
      <c r="AT13" s="88" t="s">
        <v>45</v>
      </c>
      <c r="AU13" s="88" t="s">
        <v>46</v>
      </c>
      <c r="AV13" s="89" t="s">
        <v>47</v>
      </c>
      <c r="AW13" s="90" t="s">
        <v>48</v>
      </c>
      <c r="AX13" s="88" t="s">
        <v>49</v>
      </c>
      <c r="AY13" s="91" t="s">
        <v>47</v>
      </c>
      <c r="AZ13" s="92" t="s">
        <v>50</v>
      </c>
      <c r="BA13" s="92" t="s">
        <v>51</v>
      </c>
      <c r="BB13" s="93"/>
      <c r="BC13" s="93"/>
      <c r="BD13" s="94"/>
    </row>
    <row r="14" spans="1:56" ht="14.45" customHeight="1" x14ac:dyDescent="0.25">
      <c r="A14" s="73"/>
      <c r="B14" s="74"/>
      <c r="C14" s="75"/>
      <c r="D14" s="95"/>
      <c r="E14" s="77"/>
      <c r="F14" s="78"/>
      <c r="G14" s="79"/>
      <c r="H14" s="80"/>
      <c r="I14" s="96" t="s">
        <v>52</v>
      </c>
      <c r="J14" s="97"/>
      <c r="K14" s="98" t="s">
        <v>53</v>
      </c>
      <c r="L14" s="99"/>
      <c r="M14" s="100" t="str">
        <f>I14</f>
        <v>mit Glyphosat</v>
      </c>
      <c r="N14" s="101"/>
      <c r="O14" s="102" t="str">
        <f>K14</f>
        <v>ohne Glyphosat</v>
      </c>
      <c r="P14" s="103"/>
      <c r="Q14" s="100" t="str">
        <f>M14</f>
        <v>mit Glyphosat</v>
      </c>
      <c r="R14" s="101"/>
      <c r="S14" s="102" t="str">
        <f>O14</f>
        <v>ohne Glyphosat</v>
      </c>
      <c r="T14" s="103"/>
      <c r="U14" s="100" t="str">
        <f>Q14</f>
        <v>mit Glyphosat</v>
      </c>
      <c r="V14" s="101"/>
      <c r="W14" s="102" t="str">
        <f>S14</f>
        <v>ohne Glyphosat</v>
      </c>
      <c r="X14" s="103"/>
      <c r="Y14" s="100" t="str">
        <f>U14</f>
        <v>mit Glyphosat</v>
      </c>
      <c r="Z14" s="101"/>
      <c r="AA14" s="102" t="str">
        <f>W14</f>
        <v>ohne Glyphosat</v>
      </c>
      <c r="AB14" s="103"/>
      <c r="AC14" s="100" t="str">
        <f>Y14</f>
        <v>mit Glyphosat</v>
      </c>
      <c r="AD14" s="101"/>
      <c r="AE14" s="102" t="str">
        <f>AA14</f>
        <v>ohne Glyphosat</v>
      </c>
      <c r="AF14" s="103"/>
      <c r="AG14" s="100" t="str">
        <f>AC14</f>
        <v>mit Glyphosat</v>
      </c>
      <c r="AH14" s="101"/>
      <c r="AI14" s="102" t="str">
        <f>AE14</f>
        <v>ohne Glyphosat</v>
      </c>
      <c r="AJ14" s="103"/>
      <c r="AK14" s="100" t="str">
        <f>AG14</f>
        <v>mit Glyphosat</v>
      </c>
      <c r="AL14" s="101"/>
      <c r="AM14" s="102" t="str">
        <f>AI14</f>
        <v>ohne Glyphosat</v>
      </c>
      <c r="AN14" s="103"/>
      <c r="AO14" s="100" t="str">
        <f>AK14</f>
        <v>mit Glyphosat</v>
      </c>
      <c r="AP14" s="101"/>
      <c r="AQ14" s="102" t="str">
        <f>AM14</f>
        <v>ohne Glyphosat</v>
      </c>
      <c r="AR14" s="103"/>
      <c r="AS14" s="87" t="s">
        <v>54</v>
      </c>
      <c r="AT14" s="88" t="s">
        <v>54</v>
      </c>
      <c r="AU14" s="88" t="s">
        <v>54</v>
      </c>
      <c r="AV14" s="89" t="s">
        <v>55</v>
      </c>
      <c r="AW14" s="90" t="s">
        <v>56</v>
      </c>
      <c r="AX14" s="88" t="s">
        <v>54</v>
      </c>
      <c r="AY14" s="91" t="s">
        <v>55</v>
      </c>
      <c r="AZ14" s="104" t="s">
        <v>57</v>
      </c>
      <c r="BA14" s="92" t="s">
        <v>57</v>
      </c>
      <c r="BB14" s="93"/>
      <c r="BC14" s="93"/>
      <c r="BD14" s="94"/>
    </row>
    <row r="15" spans="1:56" ht="15" thickBot="1" x14ac:dyDescent="0.3">
      <c r="A15" s="105"/>
      <c r="B15" s="106"/>
      <c r="C15" s="107"/>
      <c r="D15" s="108"/>
      <c r="E15" s="77"/>
      <c r="F15" s="78"/>
      <c r="G15" s="79"/>
      <c r="H15" s="80"/>
      <c r="I15" s="109" t="s">
        <v>58</v>
      </c>
      <c r="J15" s="110" t="s">
        <v>59</v>
      </c>
      <c r="K15" s="111" t="s">
        <v>58</v>
      </c>
      <c r="L15" s="110" t="s">
        <v>59</v>
      </c>
      <c r="M15" s="109" t="str">
        <f>I15</f>
        <v>Anzahl</v>
      </c>
      <c r="N15" s="110" t="s">
        <v>59</v>
      </c>
      <c r="O15" s="111" t="str">
        <f>K15</f>
        <v>Anzahl</v>
      </c>
      <c r="P15" s="110" t="str">
        <f t="shared" ref="P15" si="0">L15</f>
        <v>Arb.erl.kosten</v>
      </c>
      <c r="Q15" s="109" t="str">
        <f>M15</f>
        <v>Anzahl</v>
      </c>
      <c r="R15" s="110" t="str">
        <f t="shared" ref="R15:X15" si="1">N15</f>
        <v>Arb.erl.kosten</v>
      </c>
      <c r="S15" s="111" t="str">
        <f t="shared" si="1"/>
        <v>Anzahl</v>
      </c>
      <c r="T15" s="110" t="str">
        <f t="shared" si="1"/>
        <v>Arb.erl.kosten</v>
      </c>
      <c r="U15" s="109" t="str">
        <f>Q15</f>
        <v>Anzahl</v>
      </c>
      <c r="V15" s="110" t="str">
        <f t="shared" si="1"/>
        <v>Arb.erl.kosten</v>
      </c>
      <c r="W15" s="111" t="str">
        <f t="shared" si="1"/>
        <v>Anzahl</v>
      </c>
      <c r="X15" s="110" t="str">
        <f t="shared" si="1"/>
        <v>Arb.erl.kosten</v>
      </c>
      <c r="Y15" s="109" t="str">
        <f>U15</f>
        <v>Anzahl</v>
      </c>
      <c r="Z15" s="110" t="str">
        <f t="shared" ref="Z15:AB15" si="2">V15</f>
        <v>Arb.erl.kosten</v>
      </c>
      <c r="AA15" s="111" t="str">
        <f t="shared" si="2"/>
        <v>Anzahl</v>
      </c>
      <c r="AB15" s="110" t="str">
        <f t="shared" si="2"/>
        <v>Arb.erl.kosten</v>
      </c>
      <c r="AC15" s="109" t="str">
        <f>Y15</f>
        <v>Anzahl</v>
      </c>
      <c r="AD15" s="110" t="str">
        <f t="shared" ref="AD15:AF15" si="3">Z15</f>
        <v>Arb.erl.kosten</v>
      </c>
      <c r="AE15" s="111" t="str">
        <f t="shared" si="3"/>
        <v>Anzahl</v>
      </c>
      <c r="AF15" s="110" t="str">
        <f t="shared" si="3"/>
        <v>Arb.erl.kosten</v>
      </c>
      <c r="AG15" s="109" t="str">
        <f>AC15</f>
        <v>Anzahl</v>
      </c>
      <c r="AH15" s="110" t="str">
        <f t="shared" ref="AH15:AJ15" si="4">AD15</f>
        <v>Arb.erl.kosten</v>
      </c>
      <c r="AI15" s="111" t="str">
        <f t="shared" si="4"/>
        <v>Anzahl</v>
      </c>
      <c r="AJ15" s="110" t="str">
        <f t="shared" si="4"/>
        <v>Arb.erl.kosten</v>
      </c>
      <c r="AK15" s="109" t="str">
        <f>AG15</f>
        <v>Anzahl</v>
      </c>
      <c r="AL15" s="110" t="str">
        <f t="shared" ref="AL15:AN15" si="5">AH15</f>
        <v>Arb.erl.kosten</v>
      </c>
      <c r="AM15" s="111" t="str">
        <f t="shared" si="5"/>
        <v>Anzahl</v>
      </c>
      <c r="AN15" s="110" t="str">
        <f t="shared" si="5"/>
        <v>Arb.erl.kosten</v>
      </c>
      <c r="AO15" s="109" t="str">
        <f>AK15</f>
        <v>Anzahl</v>
      </c>
      <c r="AP15" s="110" t="str">
        <f t="shared" ref="AP15:AR15" si="6">AL15</f>
        <v>Arb.erl.kosten</v>
      </c>
      <c r="AQ15" s="111" t="str">
        <f t="shared" si="6"/>
        <v>Anzahl</v>
      </c>
      <c r="AR15" s="110" t="str">
        <f t="shared" si="6"/>
        <v>Arb.erl.kosten</v>
      </c>
      <c r="AS15" s="112" t="s">
        <v>60</v>
      </c>
      <c r="AT15" s="113" t="s">
        <v>60</v>
      </c>
      <c r="AU15" s="113" t="s">
        <v>60</v>
      </c>
      <c r="AV15" s="114"/>
      <c r="AW15" s="115"/>
      <c r="AX15" s="113" t="s">
        <v>60</v>
      </c>
      <c r="AY15" s="116"/>
      <c r="AZ15" s="107"/>
      <c r="BA15" s="107"/>
      <c r="BB15" s="117"/>
      <c r="BC15" s="117"/>
      <c r="BD15" s="118"/>
    </row>
    <row r="16" spans="1:56" ht="14.25" x14ac:dyDescent="0.25">
      <c r="A16" s="119" t="s">
        <v>61</v>
      </c>
      <c r="B16" s="69" t="s">
        <v>62</v>
      </c>
      <c r="C16" s="120" t="s">
        <v>63</v>
      </c>
      <c r="D16" s="121" t="s">
        <v>62</v>
      </c>
      <c r="E16" s="122"/>
      <c r="F16" s="123">
        <v>0</v>
      </c>
      <c r="G16" s="124">
        <v>0</v>
      </c>
      <c r="H16" s="125">
        <f t="shared" ref="H16:H25" si="7">IF(F16=0,0,F16*G16+$G$8+$G$9)</f>
        <v>0</v>
      </c>
      <c r="I16" s="126">
        <v>0.9</v>
      </c>
      <c r="J16" s="127">
        <f t="shared" ref="J16:J25" si="8">I16*(I$13*$B$9+K$13)</f>
        <v>123.867</v>
      </c>
      <c r="K16" s="128">
        <v>1</v>
      </c>
      <c r="L16" s="125">
        <f t="shared" ref="L16:L25" si="9">K16*(I$13*$B$9+K$13)</f>
        <v>137.63</v>
      </c>
      <c r="M16" s="126">
        <v>0.5</v>
      </c>
      <c r="N16" s="127">
        <f t="shared" ref="N16:N25" si="10">M16*(M$13*$B$9+O$13)</f>
        <v>24.317500000000003</v>
      </c>
      <c r="O16" s="128">
        <v>1.5</v>
      </c>
      <c r="P16" s="125">
        <f t="shared" ref="P16:P25" si="11">O16*(M$13*$B$9+O$13)</f>
        <v>72.952500000000015</v>
      </c>
      <c r="Q16" s="126">
        <v>1</v>
      </c>
      <c r="R16" s="125">
        <f t="shared" ref="R16:R25" si="12">Q16*(Q$13*$B$9+S$13)</f>
        <v>46.491568025135855</v>
      </c>
      <c r="S16" s="128">
        <v>1.5</v>
      </c>
      <c r="T16" s="125">
        <f t="shared" ref="T16:T25" si="13">S16*(Q$13*$B$9+S$13)</f>
        <v>69.737352037703786</v>
      </c>
      <c r="U16" s="126"/>
      <c r="V16" s="125">
        <f t="shared" ref="V16:V25" si="14">U16*(U$13*$B$9+W$13)</f>
        <v>0</v>
      </c>
      <c r="W16" s="128"/>
      <c r="X16" s="125">
        <f t="shared" ref="X16:X25" si="15">W16*(U$13*$B$9+W$13)</f>
        <v>0</v>
      </c>
      <c r="Y16" s="126">
        <v>1.3</v>
      </c>
      <c r="Z16" s="125">
        <f t="shared" ref="Z16:Z25" si="16">Y16*(Y$13*$B$9+AA$13)</f>
        <v>68.666619047619051</v>
      </c>
      <c r="AA16" s="128">
        <v>2</v>
      </c>
      <c r="AB16" s="125">
        <f t="shared" ref="AB16:AB25" si="17">AA16*(Y$13*$B$9+AA$13)</f>
        <v>105.64095238095238</v>
      </c>
      <c r="AC16" s="126"/>
      <c r="AD16" s="125">
        <f t="shared" ref="AD16:AD25" si="18">AC16*(AC$13*$B$9+AE$13)</f>
        <v>0</v>
      </c>
      <c r="AE16" s="128"/>
      <c r="AF16" s="125">
        <f t="shared" ref="AF16:AF25" si="19">AE16*(AC$13*$B$9+AE$13)</f>
        <v>0</v>
      </c>
      <c r="AG16" s="126"/>
      <c r="AH16" s="125">
        <f t="shared" ref="AH16:AH25" si="20">AG16*(AG$13*$B$9+AI$13)</f>
        <v>0</v>
      </c>
      <c r="AI16" s="128"/>
      <c r="AJ16" s="125">
        <f t="shared" ref="AJ16:AJ25" si="21">AI16*(AG$13*$B$9+AI$13)</f>
        <v>0</v>
      </c>
      <c r="AK16" s="126"/>
      <c r="AL16" s="125">
        <f t="shared" ref="AL16:AL25" si="22">AK16*(AK$13*$B$9+AM$13)</f>
        <v>0</v>
      </c>
      <c r="AM16" s="128"/>
      <c r="AN16" s="125">
        <f t="shared" ref="AN16:AN25" si="23">AM16*(AK$13*$B$9+AM$13)</f>
        <v>0</v>
      </c>
      <c r="AO16" s="126"/>
      <c r="AP16" s="125">
        <f t="shared" ref="AP16:AP25" si="24">AO16*(AO$13*$B$9+AQ$13)</f>
        <v>0</v>
      </c>
      <c r="AQ16" s="128"/>
      <c r="AR16" s="125">
        <f t="shared" ref="AR16:AR25" si="25">AQ16*(AO$13*$B$9+AQ$13)</f>
        <v>0</v>
      </c>
      <c r="AS16" s="129">
        <v>0</v>
      </c>
      <c r="AT16" s="130">
        <f>AS16*0.9</f>
        <v>0</v>
      </c>
      <c r="AU16" s="131">
        <v>0</v>
      </c>
      <c r="AV16" s="125">
        <f t="shared" ref="AV16:AV25" si="26">AU16*(AS16-AT16)</f>
        <v>0</v>
      </c>
      <c r="AW16" s="132">
        <v>0</v>
      </c>
      <c r="AX16" s="133">
        <f t="shared" ref="AX16:AX25" si="27">AU16-AW16</f>
        <v>0</v>
      </c>
      <c r="AY16" s="125">
        <f>(AU16-AX16)*AT16</f>
        <v>0</v>
      </c>
      <c r="AZ16" s="125">
        <f>IF(SUM(AN16+AC16+Y16+U16+Q16+M16+I16)=0,0,J16+N16+R16+V16+Z16+AD16+AG16+AK16+AO16+AW16)</f>
        <v>263.34268707275493</v>
      </c>
      <c r="BA16" s="125">
        <f t="shared" ref="BA16:BA25" si="28">IF(SUM(AQ16+AE16+AA16+W16+S16+O16+K16)=0,0,H16+L16+P16+T16+X16+AB16+AF16+AJ16+AN16+AR16+AV16+AY16-$G$11)</f>
        <v>336.27117941865623</v>
      </c>
      <c r="BB16" s="134">
        <f t="shared" ref="BB16:BB25" si="29">IF(BA16-AZ16&gt;0,BA16-AZ16,0)</f>
        <v>72.928492345901304</v>
      </c>
      <c r="BC16" s="135">
        <v>0.7</v>
      </c>
      <c r="BD16" s="136">
        <f>0.333333*BC16*BE30</f>
        <v>3.4999964999999994E-2</v>
      </c>
    </row>
    <row r="17" spans="1:57" ht="14.25" x14ac:dyDescent="0.25">
      <c r="A17" s="137"/>
      <c r="B17" s="138"/>
      <c r="C17" s="139"/>
      <c r="D17" s="140" t="s">
        <v>64</v>
      </c>
      <c r="E17" s="141"/>
      <c r="F17" s="142">
        <v>0</v>
      </c>
      <c r="G17" s="143">
        <v>0</v>
      </c>
      <c r="H17" s="144">
        <f t="shared" si="7"/>
        <v>0</v>
      </c>
      <c r="I17" s="145"/>
      <c r="J17" s="146">
        <f t="shared" si="8"/>
        <v>0</v>
      </c>
      <c r="K17" s="147"/>
      <c r="L17" s="144">
        <f t="shared" si="9"/>
        <v>0</v>
      </c>
      <c r="M17" s="145">
        <v>1</v>
      </c>
      <c r="N17" s="146">
        <f t="shared" si="10"/>
        <v>48.635000000000005</v>
      </c>
      <c r="O17" s="147">
        <v>2.5</v>
      </c>
      <c r="P17" s="144">
        <f t="shared" si="11"/>
        <v>121.58750000000001</v>
      </c>
      <c r="Q17" s="145">
        <v>1</v>
      </c>
      <c r="R17" s="144">
        <f t="shared" si="12"/>
        <v>46.491568025135855</v>
      </c>
      <c r="S17" s="147">
        <v>1.5</v>
      </c>
      <c r="T17" s="144">
        <f t="shared" si="13"/>
        <v>69.737352037703786</v>
      </c>
      <c r="U17" s="145"/>
      <c r="V17" s="144">
        <f t="shared" si="14"/>
        <v>0</v>
      </c>
      <c r="W17" s="147"/>
      <c r="X17" s="144">
        <f t="shared" si="15"/>
        <v>0</v>
      </c>
      <c r="Y17" s="145">
        <v>1.5</v>
      </c>
      <c r="Z17" s="144">
        <f t="shared" si="16"/>
        <v>79.230714285714285</v>
      </c>
      <c r="AA17" s="147">
        <v>2</v>
      </c>
      <c r="AB17" s="144">
        <f t="shared" si="17"/>
        <v>105.64095238095238</v>
      </c>
      <c r="AC17" s="145"/>
      <c r="AD17" s="144">
        <f t="shared" si="18"/>
        <v>0</v>
      </c>
      <c r="AE17" s="147"/>
      <c r="AF17" s="144">
        <f t="shared" si="19"/>
        <v>0</v>
      </c>
      <c r="AG17" s="145"/>
      <c r="AH17" s="144">
        <f t="shared" si="20"/>
        <v>0</v>
      </c>
      <c r="AI17" s="147"/>
      <c r="AJ17" s="144">
        <f t="shared" si="21"/>
        <v>0</v>
      </c>
      <c r="AK17" s="145"/>
      <c r="AL17" s="144">
        <f t="shared" si="22"/>
        <v>0</v>
      </c>
      <c r="AM17" s="147"/>
      <c r="AN17" s="144">
        <f t="shared" si="23"/>
        <v>0</v>
      </c>
      <c r="AO17" s="145"/>
      <c r="AP17" s="144">
        <f t="shared" si="24"/>
        <v>0</v>
      </c>
      <c r="AQ17" s="147"/>
      <c r="AR17" s="144">
        <f t="shared" si="25"/>
        <v>0</v>
      </c>
      <c r="AS17" s="148">
        <f>AS16</f>
        <v>0</v>
      </c>
      <c r="AT17" s="149">
        <f t="shared" ref="AT17:AT25" si="30">AS17*0.9</f>
        <v>0</v>
      </c>
      <c r="AU17" s="150">
        <f>AU16</f>
        <v>0</v>
      </c>
      <c r="AV17" s="144">
        <f t="shared" si="26"/>
        <v>0</v>
      </c>
      <c r="AW17" s="151">
        <f>AW16</f>
        <v>0</v>
      </c>
      <c r="AX17" s="152">
        <f t="shared" si="27"/>
        <v>0</v>
      </c>
      <c r="AY17" s="144">
        <f t="shared" ref="AY17:AY25" si="31">(AU17-AX17)*AT17</f>
        <v>0</v>
      </c>
      <c r="AZ17" s="144">
        <f t="shared" ref="AZ17:AZ25" si="32">IF(SUM(AN17+AC17+Y17+U17+Q17+M17+I17)=0,0,J17+N17+R17+V17+Z17+AD17+AG17+AK17+AO17+AW17)</f>
        <v>174.35728231085017</v>
      </c>
      <c r="BA17" s="144">
        <f t="shared" si="28"/>
        <v>247.2761794186562</v>
      </c>
      <c r="BB17" s="153">
        <f t="shared" si="29"/>
        <v>72.918897107806032</v>
      </c>
      <c r="BC17" s="154">
        <f>1-BC16</f>
        <v>0.30000000000000004</v>
      </c>
      <c r="BD17" s="155">
        <f>0.333333*BC17*BE30</f>
        <v>1.4999985000000002E-2</v>
      </c>
    </row>
    <row r="18" spans="1:57" ht="14.25" x14ac:dyDescent="0.25">
      <c r="A18" s="137"/>
      <c r="B18" s="138"/>
      <c r="C18" s="156" t="s">
        <v>65</v>
      </c>
      <c r="D18" s="157" t="s">
        <v>62</v>
      </c>
      <c r="E18" s="158"/>
      <c r="F18" s="159">
        <v>0</v>
      </c>
      <c r="G18" s="160">
        <v>0</v>
      </c>
      <c r="H18" s="161">
        <f t="shared" si="7"/>
        <v>0</v>
      </c>
      <c r="I18" s="162">
        <v>0.9</v>
      </c>
      <c r="J18" s="163">
        <f t="shared" si="8"/>
        <v>123.867</v>
      </c>
      <c r="K18" s="164">
        <v>1</v>
      </c>
      <c r="L18" s="165">
        <f t="shared" si="9"/>
        <v>137.63</v>
      </c>
      <c r="M18" s="162">
        <v>0.5</v>
      </c>
      <c r="N18" s="163">
        <f t="shared" si="10"/>
        <v>24.317500000000003</v>
      </c>
      <c r="O18" s="164">
        <v>2</v>
      </c>
      <c r="P18" s="165">
        <f t="shared" si="11"/>
        <v>97.27000000000001</v>
      </c>
      <c r="Q18" s="162">
        <v>1</v>
      </c>
      <c r="R18" s="165">
        <f t="shared" si="12"/>
        <v>46.491568025135855</v>
      </c>
      <c r="S18" s="164">
        <v>1.5</v>
      </c>
      <c r="T18" s="165">
        <f t="shared" si="13"/>
        <v>69.737352037703786</v>
      </c>
      <c r="U18" s="162"/>
      <c r="V18" s="165">
        <f t="shared" si="14"/>
        <v>0</v>
      </c>
      <c r="W18" s="164"/>
      <c r="X18" s="165">
        <f t="shared" si="15"/>
        <v>0</v>
      </c>
      <c r="Y18" s="162">
        <v>0.3</v>
      </c>
      <c r="Z18" s="165">
        <f t="shared" si="16"/>
        <v>15.846142857142857</v>
      </c>
      <c r="AA18" s="164">
        <f>1</f>
        <v>1</v>
      </c>
      <c r="AB18" s="165">
        <f t="shared" si="17"/>
        <v>52.820476190476192</v>
      </c>
      <c r="AC18" s="162"/>
      <c r="AD18" s="165">
        <f t="shared" si="18"/>
        <v>0</v>
      </c>
      <c r="AE18" s="164"/>
      <c r="AF18" s="165">
        <f t="shared" si="19"/>
        <v>0</v>
      </c>
      <c r="AG18" s="162"/>
      <c r="AH18" s="165">
        <f t="shared" si="20"/>
        <v>0</v>
      </c>
      <c r="AI18" s="164"/>
      <c r="AJ18" s="165">
        <f t="shared" si="21"/>
        <v>0</v>
      </c>
      <c r="AK18" s="162"/>
      <c r="AL18" s="165">
        <f t="shared" si="22"/>
        <v>0</v>
      </c>
      <c r="AM18" s="164"/>
      <c r="AN18" s="165">
        <f t="shared" si="23"/>
        <v>0</v>
      </c>
      <c r="AO18" s="162"/>
      <c r="AP18" s="165">
        <f t="shared" si="24"/>
        <v>0</v>
      </c>
      <c r="AQ18" s="164"/>
      <c r="AR18" s="165">
        <f t="shared" si="25"/>
        <v>0</v>
      </c>
      <c r="AS18" s="166">
        <v>0</v>
      </c>
      <c r="AT18" s="167">
        <f t="shared" si="30"/>
        <v>0</v>
      </c>
      <c r="AU18" s="168">
        <f>AU16</f>
        <v>0</v>
      </c>
      <c r="AV18" s="165">
        <f t="shared" si="26"/>
        <v>0</v>
      </c>
      <c r="AW18" s="169">
        <v>0</v>
      </c>
      <c r="AX18" s="170">
        <f t="shared" si="27"/>
        <v>0</v>
      </c>
      <c r="AY18" s="165">
        <f t="shared" si="31"/>
        <v>0</v>
      </c>
      <c r="AZ18" s="165">
        <f t="shared" si="32"/>
        <v>210.52221088227873</v>
      </c>
      <c r="BA18" s="165">
        <f t="shared" si="28"/>
        <v>307.76820322818003</v>
      </c>
      <c r="BB18" s="161">
        <f t="shared" si="29"/>
        <v>97.2459923459013</v>
      </c>
      <c r="BC18" s="171">
        <v>0.6</v>
      </c>
      <c r="BD18" s="172">
        <f>0.8*BC18*BE32</f>
        <v>2.4E-2</v>
      </c>
    </row>
    <row r="19" spans="1:57" ht="14.25" x14ac:dyDescent="0.25">
      <c r="A19" s="137"/>
      <c r="B19" s="138"/>
      <c r="C19" s="173"/>
      <c r="D19" s="140" t="s">
        <v>64</v>
      </c>
      <c r="E19" s="141"/>
      <c r="F19" s="142">
        <v>0</v>
      </c>
      <c r="G19" s="143">
        <v>0</v>
      </c>
      <c r="H19" s="153">
        <f t="shared" si="7"/>
        <v>0</v>
      </c>
      <c r="I19" s="145"/>
      <c r="J19" s="146">
        <f t="shared" si="8"/>
        <v>0</v>
      </c>
      <c r="K19" s="147"/>
      <c r="L19" s="144">
        <f t="shared" si="9"/>
        <v>0</v>
      </c>
      <c r="M19" s="145">
        <v>1</v>
      </c>
      <c r="N19" s="146">
        <f t="shared" si="10"/>
        <v>48.635000000000005</v>
      </c>
      <c r="O19" s="147">
        <v>2.5</v>
      </c>
      <c r="P19" s="144">
        <f t="shared" si="11"/>
        <v>121.58750000000001</v>
      </c>
      <c r="Q19" s="145">
        <v>1</v>
      </c>
      <c r="R19" s="144">
        <f t="shared" si="12"/>
        <v>46.491568025135855</v>
      </c>
      <c r="S19" s="147">
        <v>1.5</v>
      </c>
      <c r="T19" s="144">
        <f t="shared" si="13"/>
        <v>69.737352037703786</v>
      </c>
      <c r="U19" s="145"/>
      <c r="V19" s="144">
        <f t="shared" si="14"/>
        <v>0</v>
      </c>
      <c r="W19" s="147"/>
      <c r="X19" s="144">
        <f t="shared" si="15"/>
        <v>0</v>
      </c>
      <c r="Y19" s="145">
        <v>0.5</v>
      </c>
      <c r="Z19" s="144">
        <f t="shared" si="16"/>
        <v>26.410238095238096</v>
      </c>
      <c r="AA19" s="147">
        <v>1</v>
      </c>
      <c r="AB19" s="144">
        <f t="shared" si="17"/>
        <v>52.820476190476192</v>
      </c>
      <c r="AC19" s="145"/>
      <c r="AD19" s="144">
        <f t="shared" si="18"/>
        <v>0</v>
      </c>
      <c r="AE19" s="147"/>
      <c r="AF19" s="144">
        <f t="shared" si="19"/>
        <v>0</v>
      </c>
      <c r="AG19" s="145"/>
      <c r="AH19" s="144">
        <f t="shared" si="20"/>
        <v>0</v>
      </c>
      <c r="AI19" s="147"/>
      <c r="AJ19" s="144">
        <f t="shared" si="21"/>
        <v>0</v>
      </c>
      <c r="AK19" s="145"/>
      <c r="AL19" s="144">
        <f t="shared" si="22"/>
        <v>0</v>
      </c>
      <c r="AM19" s="147"/>
      <c r="AN19" s="144">
        <f t="shared" si="23"/>
        <v>0</v>
      </c>
      <c r="AO19" s="145"/>
      <c r="AP19" s="144">
        <f t="shared" si="24"/>
        <v>0</v>
      </c>
      <c r="AQ19" s="147"/>
      <c r="AR19" s="144">
        <f t="shared" si="25"/>
        <v>0</v>
      </c>
      <c r="AS19" s="148">
        <f>AS18</f>
        <v>0</v>
      </c>
      <c r="AT19" s="149">
        <f t="shared" si="30"/>
        <v>0</v>
      </c>
      <c r="AU19" s="150">
        <f>AU18</f>
        <v>0</v>
      </c>
      <c r="AV19" s="144">
        <f t="shared" si="26"/>
        <v>0</v>
      </c>
      <c r="AW19" s="151">
        <f>AW18</f>
        <v>0</v>
      </c>
      <c r="AX19" s="152">
        <f t="shared" si="27"/>
        <v>0</v>
      </c>
      <c r="AY19" s="144">
        <f t="shared" si="31"/>
        <v>0</v>
      </c>
      <c r="AZ19" s="144">
        <f t="shared" si="32"/>
        <v>121.53680612037397</v>
      </c>
      <c r="BA19" s="144">
        <f t="shared" si="28"/>
        <v>194.45570322818</v>
      </c>
      <c r="BB19" s="153">
        <f t="shared" si="29"/>
        <v>72.918897107806032</v>
      </c>
      <c r="BC19" s="154">
        <f>1-BC18</f>
        <v>0.4</v>
      </c>
      <c r="BD19" s="155">
        <f>0.8*BC19*BE32</f>
        <v>1.6000000000000004E-2</v>
      </c>
    </row>
    <row r="20" spans="1:57" ht="14.25" x14ac:dyDescent="0.25">
      <c r="A20" s="137"/>
      <c r="B20" s="138"/>
      <c r="C20" s="156" t="s">
        <v>66</v>
      </c>
      <c r="D20" s="157" t="s">
        <v>62</v>
      </c>
      <c r="E20" s="158"/>
      <c r="F20" s="159">
        <v>0</v>
      </c>
      <c r="G20" s="160">
        <v>0</v>
      </c>
      <c r="H20" s="161">
        <f t="shared" si="7"/>
        <v>0</v>
      </c>
      <c r="I20" s="162">
        <v>0.9</v>
      </c>
      <c r="J20" s="163">
        <f t="shared" si="8"/>
        <v>123.867</v>
      </c>
      <c r="K20" s="164">
        <v>1</v>
      </c>
      <c r="L20" s="165">
        <f t="shared" si="9"/>
        <v>137.63</v>
      </c>
      <c r="M20" s="162">
        <v>0.5</v>
      </c>
      <c r="N20" s="163">
        <f t="shared" si="10"/>
        <v>24.317500000000003</v>
      </c>
      <c r="O20" s="164">
        <v>2</v>
      </c>
      <c r="P20" s="165">
        <f t="shared" si="11"/>
        <v>97.27000000000001</v>
      </c>
      <c r="Q20" s="162">
        <v>1</v>
      </c>
      <c r="R20" s="165">
        <f t="shared" si="12"/>
        <v>46.491568025135855</v>
      </c>
      <c r="S20" s="164">
        <v>1.5</v>
      </c>
      <c r="T20" s="165">
        <f t="shared" si="13"/>
        <v>69.737352037703786</v>
      </c>
      <c r="U20" s="162"/>
      <c r="V20" s="165">
        <f t="shared" si="14"/>
        <v>0</v>
      </c>
      <c r="W20" s="164"/>
      <c r="X20" s="165">
        <f t="shared" si="15"/>
        <v>0</v>
      </c>
      <c r="Y20" s="162">
        <v>0.3</v>
      </c>
      <c r="Z20" s="165">
        <f t="shared" si="16"/>
        <v>15.846142857142857</v>
      </c>
      <c r="AA20" s="164">
        <f>1</f>
        <v>1</v>
      </c>
      <c r="AB20" s="165">
        <f t="shared" si="17"/>
        <v>52.820476190476192</v>
      </c>
      <c r="AC20" s="162"/>
      <c r="AD20" s="165">
        <f t="shared" si="18"/>
        <v>0</v>
      </c>
      <c r="AE20" s="164"/>
      <c r="AF20" s="165">
        <f t="shared" si="19"/>
        <v>0</v>
      </c>
      <c r="AG20" s="162"/>
      <c r="AH20" s="165">
        <f t="shared" si="20"/>
        <v>0</v>
      </c>
      <c r="AI20" s="164"/>
      <c r="AJ20" s="165">
        <f t="shared" si="21"/>
        <v>0</v>
      </c>
      <c r="AK20" s="162"/>
      <c r="AL20" s="165">
        <f t="shared" si="22"/>
        <v>0</v>
      </c>
      <c r="AM20" s="164"/>
      <c r="AN20" s="165">
        <f t="shared" si="23"/>
        <v>0</v>
      </c>
      <c r="AO20" s="162"/>
      <c r="AP20" s="165">
        <f t="shared" si="24"/>
        <v>0</v>
      </c>
      <c r="AQ20" s="164"/>
      <c r="AR20" s="165">
        <f t="shared" si="25"/>
        <v>0</v>
      </c>
      <c r="AS20" s="166">
        <v>0</v>
      </c>
      <c r="AT20" s="167">
        <f t="shared" si="30"/>
        <v>0</v>
      </c>
      <c r="AU20" s="168">
        <f>AU18</f>
        <v>0</v>
      </c>
      <c r="AV20" s="165">
        <f t="shared" si="26"/>
        <v>0</v>
      </c>
      <c r="AW20" s="169">
        <v>0</v>
      </c>
      <c r="AX20" s="170">
        <f t="shared" si="27"/>
        <v>0</v>
      </c>
      <c r="AY20" s="165">
        <f t="shared" si="31"/>
        <v>0</v>
      </c>
      <c r="AZ20" s="165">
        <f t="shared" si="32"/>
        <v>210.52221088227873</v>
      </c>
      <c r="BA20" s="165">
        <f t="shared" si="28"/>
        <v>307.76820322818003</v>
      </c>
      <c r="BB20" s="161">
        <f t="shared" si="29"/>
        <v>97.2459923459013</v>
      </c>
      <c r="BC20" s="171">
        <v>0.6</v>
      </c>
      <c r="BD20" s="172">
        <f>0.85*BC20*BE34</f>
        <v>0.33150000000000002</v>
      </c>
    </row>
    <row r="21" spans="1:57" ht="14.25" x14ac:dyDescent="0.25">
      <c r="A21" s="137"/>
      <c r="B21" s="138"/>
      <c r="C21" s="174"/>
      <c r="D21" s="140" t="s">
        <v>64</v>
      </c>
      <c r="E21" s="141"/>
      <c r="F21" s="142">
        <v>0</v>
      </c>
      <c r="G21" s="143">
        <v>0</v>
      </c>
      <c r="H21" s="153">
        <f t="shared" si="7"/>
        <v>0</v>
      </c>
      <c r="I21" s="145"/>
      <c r="J21" s="146">
        <f t="shared" si="8"/>
        <v>0</v>
      </c>
      <c r="K21" s="147"/>
      <c r="L21" s="144">
        <f t="shared" si="9"/>
        <v>0</v>
      </c>
      <c r="M21" s="145">
        <v>1</v>
      </c>
      <c r="N21" s="146">
        <f t="shared" si="10"/>
        <v>48.635000000000005</v>
      </c>
      <c r="O21" s="147">
        <v>2.5</v>
      </c>
      <c r="P21" s="144">
        <f t="shared" si="11"/>
        <v>121.58750000000001</v>
      </c>
      <c r="Q21" s="145">
        <v>1</v>
      </c>
      <c r="R21" s="144">
        <f t="shared" si="12"/>
        <v>46.491568025135855</v>
      </c>
      <c r="S21" s="147">
        <v>1.5</v>
      </c>
      <c r="T21" s="144">
        <f t="shared" si="13"/>
        <v>69.737352037703786</v>
      </c>
      <c r="U21" s="145"/>
      <c r="V21" s="144">
        <f t="shared" si="14"/>
        <v>0</v>
      </c>
      <c r="W21" s="147"/>
      <c r="X21" s="144">
        <f t="shared" si="15"/>
        <v>0</v>
      </c>
      <c r="Y21" s="145">
        <v>0.5</v>
      </c>
      <c r="Z21" s="144">
        <f t="shared" si="16"/>
        <v>26.410238095238096</v>
      </c>
      <c r="AA21" s="147">
        <v>1</v>
      </c>
      <c r="AB21" s="144">
        <f t="shared" si="17"/>
        <v>52.820476190476192</v>
      </c>
      <c r="AC21" s="145"/>
      <c r="AD21" s="144">
        <f t="shared" si="18"/>
        <v>0</v>
      </c>
      <c r="AE21" s="147"/>
      <c r="AF21" s="144">
        <f t="shared" si="19"/>
        <v>0</v>
      </c>
      <c r="AG21" s="145"/>
      <c r="AH21" s="144">
        <f t="shared" si="20"/>
        <v>0</v>
      </c>
      <c r="AI21" s="147"/>
      <c r="AJ21" s="144">
        <f t="shared" si="21"/>
        <v>0</v>
      </c>
      <c r="AK21" s="145"/>
      <c r="AL21" s="144">
        <f t="shared" si="22"/>
        <v>0</v>
      </c>
      <c r="AM21" s="147"/>
      <c r="AN21" s="144">
        <f t="shared" si="23"/>
        <v>0</v>
      </c>
      <c r="AO21" s="145"/>
      <c r="AP21" s="144">
        <f t="shared" si="24"/>
        <v>0</v>
      </c>
      <c r="AQ21" s="147"/>
      <c r="AR21" s="144">
        <f t="shared" si="25"/>
        <v>0</v>
      </c>
      <c r="AS21" s="148">
        <f>AS20</f>
        <v>0</v>
      </c>
      <c r="AT21" s="149">
        <f t="shared" si="30"/>
        <v>0</v>
      </c>
      <c r="AU21" s="150">
        <f>AU20</f>
        <v>0</v>
      </c>
      <c r="AV21" s="144">
        <f t="shared" si="26"/>
        <v>0</v>
      </c>
      <c r="AW21" s="151">
        <f>AW20</f>
        <v>0</v>
      </c>
      <c r="AX21" s="152">
        <f t="shared" si="27"/>
        <v>0</v>
      </c>
      <c r="AY21" s="144">
        <f t="shared" si="31"/>
        <v>0</v>
      </c>
      <c r="AZ21" s="144">
        <f t="shared" si="32"/>
        <v>121.53680612037397</v>
      </c>
      <c r="BA21" s="144">
        <f t="shared" si="28"/>
        <v>194.45570322818</v>
      </c>
      <c r="BB21" s="153">
        <f t="shared" si="29"/>
        <v>72.918897107806032</v>
      </c>
      <c r="BC21" s="154">
        <f>1-BC20</f>
        <v>0.4</v>
      </c>
      <c r="BD21" s="155">
        <f>0.85*BC21*BE34</f>
        <v>0.22100000000000003</v>
      </c>
    </row>
    <row r="22" spans="1:57" ht="14.25" x14ac:dyDescent="0.25">
      <c r="A22" s="137"/>
      <c r="B22" s="138"/>
      <c r="C22" s="175" t="s">
        <v>67</v>
      </c>
      <c r="D22" s="157" t="s">
        <v>62</v>
      </c>
      <c r="E22" s="158"/>
      <c r="F22" s="159">
        <v>0</v>
      </c>
      <c r="G22" s="160">
        <v>0</v>
      </c>
      <c r="H22" s="161">
        <f t="shared" si="7"/>
        <v>0</v>
      </c>
      <c r="I22" s="162">
        <v>0.7</v>
      </c>
      <c r="J22" s="163">
        <f t="shared" si="8"/>
        <v>96.340999999999994</v>
      </c>
      <c r="K22" s="164">
        <v>0.9</v>
      </c>
      <c r="L22" s="165">
        <f t="shared" si="9"/>
        <v>123.867</v>
      </c>
      <c r="M22" s="162">
        <v>0.5</v>
      </c>
      <c r="N22" s="163">
        <f t="shared" si="10"/>
        <v>24.317500000000003</v>
      </c>
      <c r="O22" s="164">
        <v>2</v>
      </c>
      <c r="P22" s="165">
        <f t="shared" si="11"/>
        <v>97.27000000000001</v>
      </c>
      <c r="Q22" s="162">
        <v>1</v>
      </c>
      <c r="R22" s="165">
        <f t="shared" si="12"/>
        <v>46.491568025135855</v>
      </c>
      <c r="S22" s="164">
        <v>1.5</v>
      </c>
      <c r="T22" s="165">
        <f t="shared" si="13"/>
        <v>69.737352037703786</v>
      </c>
      <c r="U22" s="162"/>
      <c r="V22" s="165">
        <f t="shared" si="14"/>
        <v>0</v>
      </c>
      <c r="W22" s="164">
        <v>1</v>
      </c>
      <c r="X22" s="165">
        <f t="shared" si="15"/>
        <v>16.315354141656663</v>
      </c>
      <c r="Y22" s="162">
        <v>0.3</v>
      </c>
      <c r="Z22" s="165">
        <f t="shared" si="16"/>
        <v>15.846142857142857</v>
      </c>
      <c r="AA22" s="164">
        <v>1</v>
      </c>
      <c r="AB22" s="165">
        <f t="shared" si="17"/>
        <v>52.820476190476192</v>
      </c>
      <c r="AC22" s="162"/>
      <c r="AD22" s="165">
        <f t="shared" si="18"/>
        <v>0</v>
      </c>
      <c r="AE22" s="164"/>
      <c r="AF22" s="165">
        <f t="shared" si="19"/>
        <v>0</v>
      </c>
      <c r="AG22" s="162"/>
      <c r="AH22" s="165">
        <f t="shared" si="20"/>
        <v>0</v>
      </c>
      <c r="AI22" s="164"/>
      <c r="AJ22" s="165">
        <f t="shared" si="21"/>
        <v>0</v>
      </c>
      <c r="AK22" s="162"/>
      <c r="AL22" s="165">
        <f t="shared" si="22"/>
        <v>0</v>
      </c>
      <c r="AM22" s="164"/>
      <c r="AN22" s="165">
        <f t="shared" si="23"/>
        <v>0</v>
      </c>
      <c r="AO22" s="162"/>
      <c r="AP22" s="165">
        <f t="shared" si="24"/>
        <v>0</v>
      </c>
      <c r="AQ22" s="164"/>
      <c r="AR22" s="165">
        <f t="shared" si="25"/>
        <v>0</v>
      </c>
      <c r="AS22" s="166">
        <v>0</v>
      </c>
      <c r="AT22" s="167">
        <f t="shared" si="30"/>
        <v>0</v>
      </c>
      <c r="AU22" s="168">
        <f>AU20</f>
        <v>0</v>
      </c>
      <c r="AV22" s="165">
        <f t="shared" si="26"/>
        <v>0</v>
      </c>
      <c r="AW22" s="169">
        <v>0</v>
      </c>
      <c r="AX22" s="170">
        <f t="shared" si="27"/>
        <v>0</v>
      </c>
      <c r="AY22" s="165">
        <f t="shared" si="31"/>
        <v>0</v>
      </c>
      <c r="AZ22" s="165">
        <f t="shared" si="32"/>
        <v>182.99621088227872</v>
      </c>
      <c r="BA22" s="165">
        <f t="shared" si="28"/>
        <v>310.32055736983665</v>
      </c>
      <c r="BB22" s="161">
        <f t="shared" si="29"/>
        <v>127.32434648755793</v>
      </c>
      <c r="BC22" s="171">
        <v>0.6</v>
      </c>
      <c r="BD22" s="172">
        <f>0.4*BC22*BE36</f>
        <v>0</v>
      </c>
    </row>
    <row r="23" spans="1:57" ht="14.25" x14ac:dyDescent="0.25">
      <c r="A23" s="137"/>
      <c r="B23" s="138"/>
      <c r="C23" s="176"/>
      <c r="D23" s="140" t="s">
        <v>64</v>
      </c>
      <c r="E23" s="141"/>
      <c r="F23" s="142">
        <v>0</v>
      </c>
      <c r="G23" s="143">
        <v>0</v>
      </c>
      <c r="H23" s="153">
        <f t="shared" si="7"/>
        <v>0</v>
      </c>
      <c r="I23" s="145"/>
      <c r="J23" s="146">
        <f t="shared" si="8"/>
        <v>0</v>
      </c>
      <c r="K23" s="147"/>
      <c r="L23" s="144">
        <f t="shared" si="9"/>
        <v>0</v>
      </c>
      <c r="M23" s="145">
        <v>1</v>
      </c>
      <c r="N23" s="146">
        <f t="shared" si="10"/>
        <v>48.635000000000005</v>
      </c>
      <c r="O23" s="147">
        <v>2.5</v>
      </c>
      <c r="P23" s="144">
        <f t="shared" si="11"/>
        <v>121.58750000000001</v>
      </c>
      <c r="Q23" s="145">
        <v>1</v>
      </c>
      <c r="R23" s="144">
        <f t="shared" si="12"/>
        <v>46.491568025135855</v>
      </c>
      <c r="S23" s="147">
        <v>1.5</v>
      </c>
      <c r="T23" s="144">
        <f t="shared" si="13"/>
        <v>69.737352037703786</v>
      </c>
      <c r="U23" s="145"/>
      <c r="V23" s="144">
        <f t="shared" si="14"/>
        <v>0</v>
      </c>
      <c r="W23" s="147">
        <v>1</v>
      </c>
      <c r="X23" s="144">
        <f t="shared" si="15"/>
        <v>16.315354141656663</v>
      </c>
      <c r="Y23" s="145">
        <v>0.5</v>
      </c>
      <c r="Z23" s="144">
        <f t="shared" si="16"/>
        <v>26.410238095238096</v>
      </c>
      <c r="AA23" s="147">
        <v>1</v>
      </c>
      <c r="AB23" s="144">
        <f t="shared" si="17"/>
        <v>52.820476190476192</v>
      </c>
      <c r="AC23" s="145"/>
      <c r="AD23" s="144">
        <f t="shared" si="18"/>
        <v>0</v>
      </c>
      <c r="AE23" s="147"/>
      <c r="AF23" s="144">
        <f t="shared" si="19"/>
        <v>0</v>
      </c>
      <c r="AG23" s="145"/>
      <c r="AH23" s="144">
        <f t="shared" si="20"/>
        <v>0</v>
      </c>
      <c r="AI23" s="147"/>
      <c r="AJ23" s="144">
        <f t="shared" si="21"/>
        <v>0</v>
      </c>
      <c r="AK23" s="145"/>
      <c r="AL23" s="144">
        <f t="shared" si="22"/>
        <v>0</v>
      </c>
      <c r="AM23" s="147"/>
      <c r="AN23" s="144">
        <f t="shared" si="23"/>
        <v>0</v>
      </c>
      <c r="AO23" s="145"/>
      <c r="AP23" s="144">
        <f t="shared" si="24"/>
        <v>0</v>
      </c>
      <c r="AQ23" s="147"/>
      <c r="AR23" s="144">
        <f t="shared" si="25"/>
        <v>0</v>
      </c>
      <c r="AS23" s="148">
        <f>AS22</f>
        <v>0</v>
      </c>
      <c r="AT23" s="149">
        <f t="shared" si="30"/>
        <v>0</v>
      </c>
      <c r="AU23" s="150">
        <f>AU22</f>
        <v>0</v>
      </c>
      <c r="AV23" s="144">
        <f t="shared" si="26"/>
        <v>0</v>
      </c>
      <c r="AW23" s="151">
        <f>AW22</f>
        <v>0</v>
      </c>
      <c r="AX23" s="152">
        <f t="shared" si="27"/>
        <v>0</v>
      </c>
      <c r="AY23" s="144">
        <f t="shared" si="31"/>
        <v>0</v>
      </c>
      <c r="AZ23" s="144">
        <f t="shared" si="32"/>
        <v>121.53680612037397</v>
      </c>
      <c r="BA23" s="144">
        <f t="shared" si="28"/>
        <v>210.77105736983665</v>
      </c>
      <c r="BB23" s="153">
        <f t="shared" si="29"/>
        <v>89.234251249462687</v>
      </c>
      <c r="BC23" s="154">
        <f>1-BC22</f>
        <v>0.4</v>
      </c>
      <c r="BD23" s="155">
        <f>0.4*BC23*BE36</f>
        <v>0</v>
      </c>
    </row>
    <row r="24" spans="1:57" ht="14.25" x14ac:dyDescent="0.25">
      <c r="A24" s="137"/>
      <c r="B24" s="138"/>
      <c r="C24" s="175" t="s">
        <v>68</v>
      </c>
      <c r="D24" s="157" t="s">
        <v>62</v>
      </c>
      <c r="E24" s="158"/>
      <c r="F24" s="159">
        <v>0</v>
      </c>
      <c r="G24" s="160">
        <v>0</v>
      </c>
      <c r="H24" s="161">
        <f t="shared" si="7"/>
        <v>0</v>
      </c>
      <c r="I24" s="162">
        <v>0.7</v>
      </c>
      <c r="J24" s="163">
        <f t="shared" si="8"/>
        <v>96.340999999999994</v>
      </c>
      <c r="K24" s="164">
        <v>0.8</v>
      </c>
      <c r="L24" s="165">
        <f t="shared" si="9"/>
        <v>110.104</v>
      </c>
      <c r="M24" s="162">
        <v>0.5</v>
      </c>
      <c r="N24" s="163">
        <f t="shared" si="10"/>
        <v>24.317500000000003</v>
      </c>
      <c r="O24" s="164">
        <v>1.5</v>
      </c>
      <c r="P24" s="165">
        <f t="shared" si="11"/>
        <v>72.952500000000015</v>
      </c>
      <c r="Q24" s="162">
        <v>1</v>
      </c>
      <c r="R24" s="165">
        <f t="shared" si="12"/>
        <v>46.491568025135855</v>
      </c>
      <c r="S24" s="164">
        <v>1.5</v>
      </c>
      <c r="T24" s="165">
        <f t="shared" si="13"/>
        <v>69.737352037703786</v>
      </c>
      <c r="U24" s="162"/>
      <c r="V24" s="165">
        <f t="shared" si="14"/>
        <v>0</v>
      </c>
      <c r="W24" s="164"/>
      <c r="X24" s="165">
        <f t="shared" si="15"/>
        <v>0</v>
      </c>
      <c r="Y24" s="162">
        <v>0.3</v>
      </c>
      <c r="Z24" s="165">
        <f t="shared" si="16"/>
        <v>15.846142857142857</v>
      </c>
      <c r="AA24" s="164">
        <f>1</f>
        <v>1</v>
      </c>
      <c r="AB24" s="165">
        <f t="shared" si="17"/>
        <v>52.820476190476192</v>
      </c>
      <c r="AC24" s="162"/>
      <c r="AD24" s="165">
        <f t="shared" si="18"/>
        <v>0</v>
      </c>
      <c r="AE24" s="164"/>
      <c r="AF24" s="165">
        <f t="shared" si="19"/>
        <v>0</v>
      </c>
      <c r="AG24" s="162"/>
      <c r="AH24" s="165">
        <f t="shared" si="20"/>
        <v>0</v>
      </c>
      <c r="AI24" s="164"/>
      <c r="AJ24" s="165">
        <f t="shared" si="21"/>
        <v>0</v>
      </c>
      <c r="AK24" s="162"/>
      <c r="AL24" s="165">
        <f t="shared" si="22"/>
        <v>0</v>
      </c>
      <c r="AM24" s="164"/>
      <c r="AN24" s="165">
        <f t="shared" si="23"/>
        <v>0</v>
      </c>
      <c r="AO24" s="162"/>
      <c r="AP24" s="165">
        <f t="shared" si="24"/>
        <v>0</v>
      </c>
      <c r="AQ24" s="164"/>
      <c r="AR24" s="165">
        <f t="shared" si="25"/>
        <v>0</v>
      </c>
      <c r="AS24" s="166">
        <v>0</v>
      </c>
      <c r="AT24" s="167">
        <f t="shared" si="30"/>
        <v>0</v>
      </c>
      <c r="AU24" s="168">
        <f>AU22</f>
        <v>0</v>
      </c>
      <c r="AV24" s="165">
        <f t="shared" si="26"/>
        <v>0</v>
      </c>
      <c r="AW24" s="169">
        <v>0</v>
      </c>
      <c r="AX24" s="170">
        <f t="shared" si="27"/>
        <v>0</v>
      </c>
      <c r="AY24" s="165">
        <f t="shared" si="31"/>
        <v>0</v>
      </c>
      <c r="AZ24" s="165">
        <f t="shared" si="32"/>
        <v>182.99621088227872</v>
      </c>
      <c r="BA24" s="165">
        <f t="shared" si="28"/>
        <v>255.92470322817999</v>
      </c>
      <c r="BB24" s="161">
        <f t="shared" si="29"/>
        <v>72.928492345901276</v>
      </c>
      <c r="BC24" s="171">
        <v>0.4</v>
      </c>
      <c r="BD24" s="172">
        <f>0.33333*BC24*BE38</f>
        <v>1.9999800000000002E-2</v>
      </c>
    </row>
    <row r="25" spans="1:57" ht="15" thickBot="1" x14ac:dyDescent="0.3">
      <c r="A25" s="137"/>
      <c r="B25" s="138"/>
      <c r="C25" s="177"/>
      <c r="D25" s="178" t="s">
        <v>64</v>
      </c>
      <c r="E25" s="179"/>
      <c r="F25" s="180">
        <v>0</v>
      </c>
      <c r="G25" s="181">
        <v>0</v>
      </c>
      <c r="H25" s="182">
        <f t="shared" si="7"/>
        <v>0</v>
      </c>
      <c r="I25" s="183"/>
      <c r="J25" s="184">
        <f t="shared" si="8"/>
        <v>0</v>
      </c>
      <c r="K25" s="185"/>
      <c r="L25" s="186">
        <f t="shared" si="9"/>
        <v>0</v>
      </c>
      <c r="M25" s="183">
        <v>1</v>
      </c>
      <c r="N25" s="184">
        <f t="shared" si="10"/>
        <v>48.635000000000005</v>
      </c>
      <c r="O25" s="185">
        <v>2</v>
      </c>
      <c r="P25" s="186">
        <f t="shared" si="11"/>
        <v>97.27000000000001</v>
      </c>
      <c r="Q25" s="183">
        <v>1</v>
      </c>
      <c r="R25" s="186">
        <f t="shared" si="12"/>
        <v>46.491568025135855</v>
      </c>
      <c r="S25" s="185">
        <v>1.5</v>
      </c>
      <c r="T25" s="186">
        <f t="shared" si="13"/>
        <v>69.737352037703786</v>
      </c>
      <c r="U25" s="183"/>
      <c r="V25" s="186">
        <f t="shared" si="14"/>
        <v>0</v>
      </c>
      <c r="W25" s="185"/>
      <c r="X25" s="186">
        <f t="shared" si="15"/>
        <v>0</v>
      </c>
      <c r="Y25" s="183">
        <v>0.5</v>
      </c>
      <c r="Z25" s="186">
        <f t="shared" si="16"/>
        <v>26.410238095238096</v>
      </c>
      <c r="AA25" s="185">
        <v>1</v>
      </c>
      <c r="AB25" s="186">
        <f t="shared" si="17"/>
        <v>52.820476190476192</v>
      </c>
      <c r="AC25" s="183"/>
      <c r="AD25" s="186">
        <f t="shared" si="18"/>
        <v>0</v>
      </c>
      <c r="AE25" s="185"/>
      <c r="AF25" s="186">
        <f t="shared" si="19"/>
        <v>0</v>
      </c>
      <c r="AG25" s="183"/>
      <c r="AH25" s="186">
        <f t="shared" si="20"/>
        <v>0</v>
      </c>
      <c r="AI25" s="185"/>
      <c r="AJ25" s="186">
        <f t="shared" si="21"/>
        <v>0</v>
      </c>
      <c r="AK25" s="183"/>
      <c r="AL25" s="186">
        <f t="shared" si="22"/>
        <v>0</v>
      </c>
      <c r="AM25" s="185"/>
      <c r="AN25" s="186">
        <f t="shared" si="23"/>
        <v>0</v>
      </c>
      <c r="AO25" s="183"/>
      <c r="AP25" s="186">
        <f t="shared" si="24"/>
        <v>0</v>
      </c>
      <c r="AQ25" s="185"/>
      <c r="AR25" s="186">
        <f t="shared" si="25"/>
        <v>0</v>
      </c>
      <c r="AS25" s="187">
        <f>AS24</f>
        <v>0</v>
      </c>
      <c r="AT25" s="188">
        <f t="shared" si="30"/>
        <v>0</v>
      </c>
      <c r="AU25" s="189">
        <f>AU24</f>
        <v>0</v>
      </c>
      <c r="AV25" s="186">
        <f t="shared" si="26"/>
        <v>0</v>
      </c>
      <c r="AW25" s="190">
        <f>AW24</f>
        <v>0</v>
      </c>
      <c r="AX25" s="191">
        <f t="shared" si="27"/>
        <v>0</v>
      </c>
      <c r="AY25" s="186">
        <f t="shared" si="31"/>
        <v>0</v>
      </c>
      <c r="AZ25" s="186">
        <f t="shared" si="32"/>
        <v>121.53680612037397</v>
      </c>
      <c r="BA25" s="186">
        <f t="shared" si="28"/>
        <v>170.13820322818</v>
      </c>
      <c r="BB25" s="182">
        <f t="shared" si="29"/>
        <v>48.601397107806037</v>
      </c>
      <c r="BC25" s="154">
        <f>1-BC24</f>
        <v>0.6</v>
      </c>
      <c r="BD25" s="192">
        <f>0.33333*BC25*BE38</f>
        <v>2.9999700000000001E-2</v>
      </c>
    </row>
    <row r="26" spans="1:57" ht="14.25" x14ac:dyDescent="0.25">
      <c r="A26" s="137"/>
      <c r="B26" s="138"/>
      <c r="C26" s="193" t="s">
        <v>69</v>
      </c>
      <c r="D26" s="121" t="s">
        <v>62</v>
      </c>
      <c r="E26" s="194"/>
      <c r="F26" s="195"/>
      <c r="G26" s="196"/>
      <c r="H26" s="197"/>
      <c r="I26" s="198"/>
      <c r="J26" s="197"/>
      <c r="K26" s="199"/>
      <c r="L26" s="197"/>
      <c r="M26" s="198"/>
      <c r="N26" s="197"/>
      <c r="O26" s="199"/>
      <c r="P26" s="197"/>
      <c r="Q26" s="198"/>
      <c r="R26" s="197"/>
      <c r="S26" s="199"/>
      <c r="T26" s="197"/>
      <c r="U26" s="198"/>
      <c r="V26" s="197"/>
      <c r="W26" s="199"/>
      <c r="X26" s="197"/>
      <c r="Y26" s="198"/>
      <c r="Z26" s="197"/>
      <c r="AA26" s="199"/>
      <c r="AB26" s="197"/>
      <c r="AC26" s="198"/>
      <c r="AD26" s="197"/>
      <c r="AE26" s="199"/>
      <c r="AF26" s="197"/>
      <c r="AG26" s="198"/>
      <c r="AH26" s="197"/>
      <c r="AI26" s="199"/>
      <c r="AJ26" s="197"/>
      <c r="AK26" s="198"/>
      <c r="AL26" s="197"/>
      <c r="AM26" s="199"/>
      <c r="AN26" s="197"/>
      <c r="AO26" s="198"/>
      <c r="AP26" s="197"/>
      <c r="AQ26" s="199"/>
      <c r="AR26" s="197"/>
      <c r="AS26" s="200"/>
      <c r="AT26" s="200"/>
      <c r="AU26" s="201"/>
      <c r="AV26" s="197"/>
      <c r="AW26" s="201"/>
      <c r="AX26" s="201"/>
      <c r="AY26" s="197"/>
      <c r="AZ26" s="197"/>
      <c r="BA26" s="202"/>
      <c r="BB26" s="134">
        <f>(BB16*BD16+BB18*BD18+BB20*BD20+BB22*BD22+BB24*BD24)/(BD16+BD18+BD20+BD22+BD24)</f>
        <v>93.987874072952977</v>
      </c>
      <c r="BC26" s="203"/>
      <c r="BD26" s="136">
        <f>BD16+BD18+BD20+BD22+BD24</f>
        <v>0.41049976500000002</v>
      </c>
    </row>
    <row r="27" spans="1:57" ht="15" thickBot="1" x14ac:dyDescent="0.3">
      <c r="A27" s="137"/>
      <c r="B27" s="138"/>
      <c r="C27" s="177"/>
      <c r="D27" s="178" t="s">
        <v>64</v>
      </c>
      <c r="E27" s="204"/>
      <c r="F27" s="205"/>
      <c r="G27" s="206"/>
      <c r="H27" s="115"/>
      <c r="I27" s="207"/>
      <c r="J27" s="115"/>
      <c r="K27" s="208"/>
      <c r="L27" s="115"/>
      <c r="M27" s="207"/>
      <c r="N27" s="115"/>
      <c r="O27" s="208"/>
      <c r="P27" s="115"/>
      <c r="Q27" s="207"/>
      <c r="R27" s="115"/>
      <c r="S27" s="208"/>
      <c r="T27" s="115"/>
      <c r="U27" s="207"/>
      <c r="V27" s="115"/>
      <c r="W27" s="208"/>
      <c r="X27" s="115"/>
      <c r="Y27" s="207"/>
      <c r="Z27" s="115"/>
      <c r="AA27" s="208"/>
      <c r="AB27" s="115"/>
      <c r="AC27" s="207"/>
      <c r="AD27" s="115"/>
      <c r="AE27" s="208"/>
      <c r="AF27" s="115"/>
      <c r="AG27" s="207"/>
      <c r="AH27" s="115"/>
      <c r="AI27" s="208"/>
      <c r="AJ27" s="115"/>
      <c r="AK27" s="207"/>
      <c r="AL27" s="115"/>
      <c r="AM27" s="208"/>
      <c r="AN27" s="115"/>
      <c r="AO27" s="207"/>
      <c r="AP27" s="115"/>
      <c r="AQ27" s="208"/>
      <c r="AR27" s="115"/>
      <c r="AS27" s="209"/>
      <c r="AT27" s="209"/>
      <c r="AU27" s="210"/>
      <c r="AV27" s="115"/>
      <c r="AW27" s="210"/>
      <c r="AX27" s="210"/>
      <c r="AY27" s="115"/>
      <c r="AZ27" s="115"/>
      <c r="BA27" s="116"/>
      <c r="BB27" s="182">
        <f>(BB17*BD17+BB19*BD19+BB21*BD21+BB23*BD23+BB25*BD25)/(BD17+BD19+BD21+BD23+BD25)</f>
        <v>70.331952002707766</v>
      </c>
      <c r="BC27" s="211"/>
      <c r="BD27" s="192">
        <f>BD17+BD19+BD21+BD23+BD25</f>
        <v>0.28199968500000006</v>
      </c>
    </row>
    <row r="28" spans="1:57" ht="15.75" thickBot="1" x14ac:dyDescent="0.3">
      <c r="A28" s="137"/>
      <c r="B28" s="212"/>
      <c r="C28" s="213"/>
      <c r="D28" s="214" t="s">
        <v>70</v>
      </c>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6">
        <f>(BB26*BD26+BB27*BD27)/(BD26+BD27)</f>
        <v>84.354707473046361</v>
      </c>
      <c r="BC28" s="217"/>
      <c r="BD28" s="218">
        <f>BD26+BD27</f>
        <v>0.69249945000000013</v>
      </c>
    </row>
    <row r="29" spans="1:57" ht="14.25" x14ac:dyDescent="0.25">
      <c r="A29" s="137"/>
      <c r="B29" s="69" t="s">
        <v>64</v>
      </c>
      <c r="C29" s="219" t="str">
        <f>C16</f>
        <v>Mais</v>
      </c>
      <c r="D29" s="121" t="str">
        <f>D16</f>
        <v>ja</v>
      </c>
      <c r="E29" s="122"/>
      <c r="F29" s="123">
        <v>0</v>
      </c>
      <c r="G29" s="124">
        <v>0</v>
      </c>
      <c r="H29" s="125">
        <f t="shared" ref="H29:H38" si="33">IF(F29=0,0,F29*G29+$G$8+$G$9)</f>
        <v>0</v>
      </c>
      <c r="I29" s="126">
        <v>0.9</v>
      </c>
      <c r="J29" s="125">
        <f t="shared" ref="J29:J38" si="34">I29*(I$13*$B$9+K$13)</f>
        <v>123.867</v>
      </c>
      <c r="K29" s="128">
        <v>1</v>
      </c>
      <c r="L29" s="125">
        <f t="shared" ref="L29:L38" si="35">K29*(I$13*$B$9+K$13)</f>
        <v>137.63</v>
      </c>
      <c r="M29" s="126">
        <v>0.5</v>
      </c>
      <c r="N29" s="125">
        <f t="shared" ref="N29:N38" si="36">M29*(M$13*$B$9+O$13)</f>
        <v>24.317500000000003</v>
      </c>
      <c r="O29" s="128">
        <v>1.5</v>
      </c>
      <c r="P29" s="125">
        <f t="shared" ref="P29:P38" si="37">O29*(M$13*$B$9+O$13)</f>
        <v>72.952500000000015</v>
      </c>
      <c r="Q29" s="126">
        <v>1</v>
      </c>
      <c r="R29" s="125">
        <f t="shared" ref="R29:R38" si="38">Q29*(Q$13*$B$9+S$13)</f>
        <v>46.491568025135855</v>
      </c>
      <c r="S29" s="128">
        <v>1.5</v>
      </c>
      <c r="T29" s="125">
        <f t="shared" ref="T29:T38" si="39">S29*(Q$13*$B$9+S$13)</f>
        <v>69.737352037703786</v>
      </c>
      <c r="U29" s="126"/>
      <c r="V29" s="125">
        <f t="shared" ref="V29:V38" si="40">U29*(U$13*$B$9+W$13)</f>
        <v>0</v>
      </c>
      <c r="W29" s="128"/>
      <c r="X29" s="125">
        <f t="shared" ref="X29:X38" si="41">W29*(U$13*$B$9+W$13)</f>
        <v>0</v>
      </c>
      <c r="Y29" s="126">
        <v>1</v>
      </c>
      <c r="Z29" s="125">
        <f t="shared" ref="Z29:Z38" si="42">Y29*(Y$13*$B$9+AA$13)</f>
        <v>52.820476190476192</v>
      </c>
      <c r="AA29" s="128">
        <v>1</v>
      </c>
      <c r="AB29" s="125">
        <f t="shared" ref="AB29:AB38" si="43">AA29*(Y$13*$B$9+AA$13)</f>
        <v>52.820476190476192</v>
      </c>
      <c r="AC29" s="126"/>
      <c r="AD29" s="125">
        <f t="shared" ref="AD29:AD38" si="44">AC29*(AC$13*$B$9+AE$13)</f>
        <v>0</v>
      </c>
      <c r="AE29" s="128"/>
      <c r="AF29" s="125">
        <f t="shared" ref="AF29:AF38" si="45">AE29*(AC$13*$B$9+AE$13)</f>
        <v>0</v>
      </c>
      <c r="AG29" s="126"/>
      <c r="AH29" s="125">
        <f t="shared" ref="AH29:AH38" si="46">AG29*(AG$13*$B$9+AI$13)</f>
        <v>0</v>
      </c>
      <c r="AI29" s="128"/>
      <c r="AJ29" s="125">
        <f t="shared" ref="AJ29:AJ38" si="47">AI29*(AG$13*$B$9+AI$13)</f>
        <v>0</v>
      </c>
      <c r="AK29" s="126"/>
      <c r="AL29" s="125">
        <f t="shared" ref="AL29:AL38" si="48">AK29*(AK$13*$B$9+AM$13)</f>
        <v>0</v>
      </c>
      <c r="AM29" s="128"/>
      <c r="AN29" s="125">
        <f t="shared" ref="AN29:AN38" si="49">AM29*(AK$13*$B$9+AM$13)</f>
        <v>0</v>
      </c>
      <c r="AO29" s="126"/>
      <c r="AP29" s="125">
        <f t="shared" ref="AP29:AP38" si="50">AO29*(AO$13*$B$9+AQ$13)</f>
        <v>0</v>
      </c>
      <c r="AQ29" s="128"/>
      <c r="AR29" s="125">
        <f t="shared" ref="AR29:AR38" si="51">AQ29*(AO$13*$B$9+AQ$13)</f>
        <v>0</v>
      </c>
      <c r="AS29" s="129">
        <v>0</v>
      </c>
      <c r="AT29" s="130">
        <f t="shared" ref="AT29:AT38" si="52">AS29*0.9</f>
        <v>0</v>
      </c>
      <c r="AU29" s="131">
        <f>AU16</f>
        <v>0</v>
      </c>
      <c r="AV29" s="125">
        <f t="shared" ref="AV29:AV38" si="53">AU29*(AS29-AT29)</f>
        <v>0</v>
      </c>
      <c r="AW29" s="132">
        <v>0</v>
      </c>
      <c r="AX29" s="133">
        <f t="shared" ref="AX29:AX38" si="54">AU29-AW29</f>
        <v>0</v>
      </c>
      <c r="AY29" s="125">
        <f t="shared" ref="AY29:AY38" si="55">(AU29-AX29)*AT29</f>
        <v>0</v>
      </c>
      <c r="AZ29" s="125">
        <f t="shared" ref="AZ29:AZ38" si="56">IF(SUM(AN29+AC29+Y29+U29+Q29+M29+I29)=0,0,J29+N29+R29+V29+Z29+AD29+AG29+AK29+AO29+AW29)</f>
        <v>247.49654421561206</v>
      </c>
      <c r="BA29" s="125">
        <f t="shared" ref="BA29:BA38" si="57">IF(SUM(AQ29+AE29+AA29+W29+S29+O29+K29)=0,0,H29+L29+P29+T29+X29+AB29+AF29+AJ29+AN29+AR29+AV29+AY29-$G$11)</f>
        <v>283.45070322818003</v>
      </c>
      <c r="BB29" s="220">
        <f t="shared" ref="BB29:BB38" si="58">IF(BA29-AZ29&gt;0,BA29-AZ29,0)</f>
        <v>35.95415901256797</v>
      </c>
      <c r="BC29" s="135">
        <v>0.7</v>
      </c>
      <c r="BD29" s="136">
        <f>0.6666667*BC29*BE30</f>
        <v>7.0000003499999991E-2</v>
      </c>
    </row>
    <row r="30" spans="1:57" ht="14.25" x14ac:dyDescent="0.25">
      <c r="A30" s="137"/>
      <c r="B30" s="138"/>
      <c r="C30" s="173"/>
      <c r="D30" s="140" t="str">
        <f t="shared" ref="D30:D40" si="59">D17</f>
        <v>nein</v>
      </c>
      <c r="E30" s="141"/>
      <c r="F30" s="142">
        <v>0</v>
      </c>
      <c r="G30" s="143">
        <v>0</v>
      </c>
      <c r="H30" s="144">
        <f t="shared" si="33"/>
        <v>0</v>
      </c>
      <c r="I30" s="145"/>
      <c r="J30" s="144">
        <f t="shared" si="34"/>
        <v>0</v>
      </c>
      <c r="K30" s="147"/>
      <c r="L30" s="144">
        <f t="shared" si="35"/>
        <v>0</v>
      </c>
      <c r="M30" s="145">
        <v>1</v>
      </c>
      <c r="N30" s="144">
        <f t="shared" si="36"/>
        <v>48.635000000000005</v>
      </c>
      <c r="O30" s="147">
        <v>2</v>
      </c>
      <c r="P30" s="144">
        <f t="shared" si="37"/>
        <v>97.27000000000001</v>
      </c>
      <c r="Q30" s="145">
        <v>1</v>
      </c>
      <c r="R30" s="144">
        <f t="shared" si="38"/>
        <v>46.491568025135855</v>
      </c>
      <c r="S30" s="147">
        <v>1.5</v>
      </c>
      <c r="T30" s="144">
        <f t="shared" si="39"/>
        <v>69.737352037703786</v>
      </c>
      <c r="U30" s="145"/>
      <c r="V30" s="144">
        <f t="shared" si="40"/>
        <v>0</v>
      </c>
      <c r="W30" s="147"/>
      <c r="X30" s="144">
        <f t="shared" si="41"/>
        <v>0</v>
      </c>
      <c r="Y30" s="145">
        <v>1</v>
      </c>
      <c r="Z30" s="144">
        <f t="shared" si="42"/>
        <v>52.820476190476192</v>
      </c>
      <c r="AA30" s="147">
        <v>1</v>
      </c>
      <c r="AB30" s="144">
        <f t="shared" si="43"/>
        <v>52.820476190476192</v>
      </c>
      <c r="AC30" s="145"/>
      <c r="AD30" s="144">
        <f t="shared" si="44"/>
        <v>0</v>
      </c>
      <c r="AE30" s="147"/>
      <c r="AF30" s="144">
        <f t="shared" si="45"/>
        <v>0</v>
      </c>
      <c r="AG30" s="145"/>
      <c r="AH30" s="144">
        <f t="shared" si="46"/>
        <v>0</v>
      </c>
      <c r="AI30" s="147"/>
      <c r="AJ30" s="144">
        <f t="shared" si="47"/>
        <v>0</v>
      </c>
      <c r="AK30" s="145"/>
      <c r="AL30" s="144">
        <f t="shared" si="48"/>
        <v>0</v>
      </c>
      <c r="AM30" s="147"/>
      <c r="AN30" s="144">
        <f t="shared" si="49"/>
        <v>0</v>
      </c>
      <c r="AO30" s="145"/>
      <c r="AP30" s="144">
        <f t="shared" si="50"/>
        <v>0</v>
      </c>
      <c r="AQ30" s="147"/>
      <c r="AR30" s="144">
        <f t="shared" si="51"/>
        <v>0</v>
      </c>
      <c r="AS30" s="148">
        <f>AS29</f>
        <v>0</v>
      </c>
      <c r="AT30" s="149">
        <f t="shared" si="52"/>
        <v>0</v>
      </c>
      <c r="AU30" s="150">
        <f>AU29</f>
        <v>0</v>
      </c>
      <c r="AV30" s="144">
        <f t="shared" si="53"/>
        <v>0</v>
      </c>
      <c r="AW30" s="151">
        <f>AW29</f>
        <v>0</v>
      </c>
      <c r="AX30" s="152">
        <f t="shared" si="54"/>
        <v>0</v>
      </c>
      <c r="AY30" s="144">
        <f t="shared" si="55"/>
        <v>0</v>
      </c>
      <c r="AZ30" s="144">
        <f t="shared" si="56"/>
        <v>147.94704421561207</v>
      </c>
      <c r="BA30" s="144">
        <f t="shared" si="57"/>
        <v>170.13820322818</v>
      </c>
      <c r="BB30" s="153">
        <f t="shared" si="58"/>
        <v>22.191159012567937</v>
      </c>
      <c r="BC30" s="154">
        <f>1-BC29</f>
        <v>0.30000000000000004</v>
      </c>
      <c r="BD30" s="155">
        <f>BE30-BD29-BD17-BD16</f>
        <v>3.0000046500000002E-2</v>
      </c>
      <c r="BE30" s="221">
        <v>0.15</v>
      </c>
    </row>
    <row r="31" spans="1:57" ht="14.25" x14ac:dyDescent="0.25">
      <c r="A31" s="137"/>
      <c r="B31" s="138"/>
      <c r="C31" s="156" t="str">
        <f>C18</f>
        <v>Sommer-
getreide</v>
      </c>
      <c r="D31" s="157" t="str">
        <f t="shared" si="59"/>
        <v>ja</v>
      </c>
      <c r="E31" s="158"/>
      <c r="F31" s="159">
        <v>0</v>
      </c>
      <c r="G31" s="160">
        <v>0</v>
      </c>
      <c r="H31" s="165">
        <f t="shared" si="33"/>
        <v>0</v>
      </c>
      <c r="I31" s="162">
        <v>0.9</v>
      </c>
      <c r="J31" s="165">
        <f t="shared" si="34"/>
        <v>123.867</v>
      </c>
      <c r="K31" s="164">
        <v>1</v>
      </c>
      <c r="L31" s="165">
        <f t="shared" si="35"/>
        <v>137.63</v>
      </c>
      <c r="M31" s="162">
        <v>0.5</v>
      </c>
      <c r="N31" s="165">
        <f t="shared" si="36"/>
        <v>24.317500000000003</v>
      </c>
      <c r="O31" s="164">
        <v>1.5</v>
      </c>
      <c r="P31" s="165">
        <f t="shared" si="37"/>
        <v>72.952500000000015</v>
      </c>
      <c r="Q31" s="162">
        <v>1</v>
      </c>
      <c r="R31" s="165">
        <f t="shared" si="38"/>
        <v>46.491568025135855</v>
      </c>
      <c r="S31" s="164">
        <v>1</v>
      </c>
      <c r="T31" s="165">
        <f t="shared" si="39"/>
        <v>46.491568025135855</v>
      </c>
      <c r="U31" s="162"/>
      <c r="V31" s="165">
        <f t="shared" si="40"/>
        <v>0</v>
      </c>
      <c r="W31" s="164"/>
      <c r="X31" s="165">
        <f t="shared" si="41"/>
        <v>0</v>
      </c>
      <c r="Y31" s="162"/>
      <c r="Z31" s="165">
        <f t="shared" si="42"/>
        <v>0</v>
      </c>
      <c r="AA31" s="164"/>
      <c r="AB31" s="165">
        <f t="shared" si="43"/>
        <v>0</v>
      </c>
      <c r="AC31" s="162"/>
      <c r="AD31" s="165">
        <f t="shared" si="44"/>
        <v>0</v>
      </c>
      <c r="AE31" s="164"/>
      <c r="AF31" s="165">
        <f t="shared" si="45"/>
        <v>0</v>
      </c>
      <c r="AG31" s="162"/>
      <c r="AH31" s="165">
        <f t="shared" si="46"/>
        <v>0</v>
      </c>
      <c r="AI31" s="164"/>
      <c r="AJ31" s="165">
        <f t="shared" si="47"/>
        <v>0</v>
      </c>
      <c r="AK31" s="162"/>
      <c r="AL31" s="165">
        <f t="shared" si="48"/>
        <v>0</v>
      </c>
      <c r="AM31" s="164"/>
      <c r="AN31" s="165">
        <f t="shared" si="49"/>
        <v>0</v>
      </c>
      <c r="AO31" s="162"/>
      <c r="AP31" s="165">
        <f t="shared" si="50"/>
        <v>0</v>
      </c>
      <c r="AQ31" s="164"/>
      <c r="AR31" s="165">
        <f t="shared" si="51"/>
        <v>0</v>
      </c>
      <c r="AS31" s="166">
        <v>0</v>
      </c>
      <c r="AT31" s="167">
        <f t="shared" si="52"/>
        <v>0</v>
      </c>
      <c r="AU31" s="168">
        <f>AU18</f>
        <v>0</v>
      </c>
      <c r="AV31" s="165">
        <f t="shared" si="53"/>
        <v>0</v>
      </c>
      <c r="AW31" s="169">
        <v>0</v>
      </c>
      <c r="AX31" s="170">
        <f t="shared" si="54"/>
        <v>0</v>
      </c>
      <c r="AY31" s="165">
        <f t="shared" si="55"/>
        <v>0</v>
      </c>
      <c r="AZ31" s="165">
        <f t="shared" si="56"/>
        <v>194.67606802513586</v>
      </c>
      <c r="BA31" s="165">
        <f t="shared" si="57"/>
        <v>207.38444302513588</v>
      </c>
      <c r="BB31" s="222">
        <f t="shared" si="58"/>
        <v>12.708375000000018</v>
      </c>
      <c r="BC31" s="171">
        <v>0.6</v>
      </c>
      <c r="BD31" s="172">
        <f>0.2*BC31*BE32</f>
        <v>6.0000000000000001E-3</v>
      </c>
    </row>
    <row r="32" spans="1:57" ht="14.25" x14ac:dyDescent="0.25">
      <c r="A32" s="137"/>
      <c r="B32" s="138"/>
      <c r="C32" s="173"/>
      <c r="D32" s="140" t="str">
        <f t="shared" si="59"/>
        <v>nein</v>
      </c>
      <c r="E32" s="141"/>
      <c r="F32" s="142">
        <v>0</v>
      </c>
      <c r="G32" s="143">
        <v>0</v>
      </c>
      <c r="H32" s="144">
        <f t="shared" si="33"/>
        <v>0</v>
      </c>
      <c r="I32" s="145"/>
      <c r="J32" s="144">
        <f t="shared" si="34"/>
        <v>0</v>
      </c>
      <c r="K32" s="147"/>
      <c r="L32" s="144">
        <f t="shared" si="35"/>
        <v>0</v>
      </c>
      <c r="M32" s="145">
        <v>1</v>
      </c>
      <c r="N32" s="144">
        <f t="shared" si="36"/>
        <v>48.635000000000005</v>
      </c>
      <c r="O32" s="147">
        <v>2</v>
      </c>
      <c r="P32" s="144">
        <f t="shared" si="37"/>
        <v>97.27000000000001</v>
      </c>
      <c r="Q32" s="145">
        <v>1</v>
      </c>
      <c r="R32" s="144">
        <f t="shared" si="38"/>
        <v>46.491568025135855</v>
      </c>
      <c r="S32" s="147">
        <v>1</v>
      </c>
      <c r="T32" s="144">
        <f t="shared" si="39"/>
        <v>46.491568025135855</v>
      </c>
      <c r="U32" s="145"/>
      <c r="V32" s="144">
        <f t="shared" si="40"/>
        <v>0</v>
      </c>
      <c r="W32" s="147"/>
      <c r="X32" s="144">
        <f t="shared" si="41"/>
        <v>0</v>
      </c>
      <c r="Y32" s="145"/>
      <c r="Z32" s="144">
        <f t="shared" si="42"/>
        <v>0</v>
      </c>
      <c r="AA32" s="147"/>
      <c r="AB32" s="144">
        <f t="shared" si="43"/>
        <v>0</v>
      </c>
      <c r="AC32" s="145"/>
      <c r="AD32" s="144">
        <f t="shared" si="44"/>
        <v>0</v>
      </c>
      <c r="AE32" s="147"/>
      <c r="AF32" s="144">
        <f t="shared" si="45"/>
        <v>0</v>
      </c>
      <c r="AG32" s="145"/>
      <c r="AH32" s="144">
        <f t="shared" si="46"/>
        <v>0</v>
      </c>
      <c r="AI32" s="147"/>
      <c r="AJ32" s="144">
        <f t="shared" si="47"/>
        <v>0</v>
      </c>
      <c r="AK32" s="145"/>
      <c r="AL32" s="144">
        <f t="shared" si="48"/>
        <v>0</v>
      </c>
      <c r="AM32" s="147"/>
      <c r="AN32" s="144">
        <f t="shared" si="49"/>
        <v>0</v>
      </c>
      <c r="AO32" s="145"/>
      <c r="AP32" s="144">
        <f t="shared" si="50"/>
        <v>0</v>
      </c>
      <c r="AQ32" s="147"/>
      <c r="AR32" s="144">
        <f t="shared" si="51"/>
        <v>0</v>
      </c>
      <c r="AS32" s="148">
        <f>AS31</f>
        <v>0</v>
      </c>
      <c r="AT32" s="149">
        <f t="shared" si="52"/>
        <v>0</v>
      </c>
      <c r="AU32" s="150">
        <f>AU31</f>
        <v>0</v>
      </c>
      <c r="AV32" s="144">
        <f t="shared" si="53"/>
        <v>0</v>
      </c>
      <c r="AW32" s="151">
        <f>AW31</f>
        <v>0</v>
      </c>
      <c r="AX32" s="152">
        <f t="shared" si="54"/>
        <v>0</v>
      </c>
      <c r="AY32" s="144">
        <f t="shared" si="55"/>
        <v>0</v>
      </c>
      <c r="AZ32" s="144">
        <f t="shared" si="56"/>
        <v>95.126568025135867</v>
      </c>
      <c r="BA32" s="144">
        <f t="shared" si="57"/>
        <v>94.071943025135852</v>
      </c>
      <c r="BB32" s="153">
        <f t="shared" si="58"/>
        <v>0</v>
      </c>
      <c r="BC32" s="154">
        <f>1-BC31</f>
        <v>0.4</v>
      </c>
      <c r="BD32" s="155">
        <f>BE32-BD31-BD19-BD18</f>
        <v>4.0000000000000001E-3</v>
      </c>
      <c r="BE32" s="221">
        <v>0.05</v>
      </c>
    </row>
    <row r="33" spans="1:58" ht="14.25" x14ac:dyDescent="0.25">
      <c r="A33" s="137"/>
      <c r="B33" s="138"/>
      <c r="C33" s="177" t="str">
        <f>C20</f>
        <v>Winter-
getreide</v>
      </c>
      <c r="D33" s="157" t="str">
        <f t="shared" si="59"/>
        <v>ja</v>
      </c>
      <c r="E33" s="158"/>
      <c r="F33" s="159">
        <v>0</v>
      </c>
      <c r="G33" s="160">
        <v>0</v>
      </c>
      <c r="H33" s="165">
        <f t="shared" si="33"/>
        <v>0</v>
      </c>
      <c r="I33" s="162">
        <v>0.9</v>
      </c>
      <c r="J33" s="165">
        <f t="shared" si="34"/>
        <v>123.867</v>
      </c>
      <c r="K33" s="164">
        <v>1</v>
      </c>
      <c r="L33" s="165">
        <f t="shared" si="35"/>
        <v>137.63</v>
      </c>
      <c r="M33" s="162">
        <v>0.5</v>
      </c>
      <c r="N33" s="165">
        <f t="shared" si="36"/>
        <v>24.317500000000003</v>
      </c>
      <c r="O33" s="164">
        <v>1.5</v>
      </c>
      <c r="P33" s="165">
        <f t="shared" si="37"/>
        <v>72.952500000000015</v>
      </c>
      <c r="Q33" s="162">
        <v>1</v>
      </c>
      <c r="R33" s="165">
        <f t="shared" si="38"/>
        <v>46.491568025135855</v>
      </c>
      <c r="S33" s="164">
        <v>1</v>
      </c>
      <c r="T33" s="165">
        <f t="shared" si="39"/>
        <v>46.491568025135855</v>
      </c>
      <c r="U33" s="162"/>
      <c r="V33" s="165">
        <f t="shared" si="40"/>
        <v>0</v>
      </c>
      <c r="W33" s="164"/>
      <c r="X33" s="165">
        <f t="shared" si="41"/>
        <v>0</v>
      </c>
      <c r="Y33" s="162"/>
      <c r="Z33" s="165">
        <f t="shared" si="42"/>
        <v>0</v>
      </c>
      <c r="AA33" s="164"/>
      <c r="AB33" s="165">
        <f t="shared" si="43"/>
        <v>0</v>
      </c>
      <c r="AC33" s="162"/>
      <c r="AD33" s="165">
        <f t="shared" si="44"/>
        <v>0</v>
      </c>
      <c r="AE33" s="164"/>
      <c r="AF33" s="165">
        <f t="shared" si="45"/>
        <v>0</v>
      </c>
      <c r="AG33" s="162"/>
      <c r="AH33" s="165">
        <f t="shared" si="46"/>
        <v>0</v>
      </c>
      <c r="AI33" s="164"/>
      <c r="AJ33" s="165">
        <f t="shared" si="47"/>
        <v>0</v>
      </c>
      <c r="AK33" s="162"/>
      <c r="AL33" s="165">
        <f t="shared" si="48"/>
        <v>0</v>
      </c>
      <c r="AM33" s="164"/>
      <c r="AN33" s="165">
        <f t="shared" si="49"/>
        <v>0</v>
      </c>
      <c r="AO33" s="162"/>
      <c r="AP33" s="165">
        <f t="shared" si="50"/>
        <v>0</v>
      </c>
      <c r="AQ33" s="164"/>
      <c r="AR33" s="165">
        <f t="shared" si="51"/>
        <v>0</v>
      </c>
      <c r="AS33" s="166">
        <v>0</v>
      </c>
      <c r="AT33" s="167">
        <f t="shared" si="52"/>
        <v>0</v>
      </c>
      <c r="AU33" s="168">
        <f>AU20</f>
        <v>0</v>
      </c>
      <c r="AV33" s="165">
        <f t="shared" si="53"/>
        <v>0</v>
      </c>
      <c r="AW33" s="169">
        <v>0</v>
      </c>
      <c r="AX33" s="170">
        <f t="shared" si="54"/>
        <v>0</v>
      </c>
      <c r="AY33" s="165">
        <f t="shared" si="55"/>
        <v>0</v>
      </c>
      <c r="AZ33" s="165">
        <f t="shared" si="56"/>
        <v>194.67606802513586</v>
      </c>
      <c r="BA33" s="165">
        <f t="shared" si="57"/>
        <v>207.38444302513588</v>
      </c>
      <c r="BB33" s="222">
        <f t="shared" si="58"/>
        <v>12.708375000000018</v>
      </c>
      <c r="BC33" s="171">
        <v>0.6</v>
      </c>
      <c r="BD33" s="172">
        <f>0.15*BC33*BE34</f>
        <v>5.8499999999999996E-2</v>
      </c>
    </row>
    <row r="34" spans="1:58" ht="14.25" x14ac:dyDescent="0.25">
      <c r="A34" s="137"/>
      <c r="B34" s="138"/>
      <c r="C34" s="177"/>
      <c r="D34" s="140" t="str">
        <f t="shared" si="59"/>
        <v>nein</v>
      </c>
      <c r="E34" s="141"/>
      <c r="F34" s="142">
        <v>0</v>
      </c>
      <c r="G34" s="143">
        <v>0</v>
      </c>
      <c r="H34" s="144">
        <f t="shared" si="33"/>
        <v>0</v>
      </c>
      <c r="I34" s="145"/>
      <c r="J34" s="144">
        <f t="shared" si="34"/>
        <v>0</v>
      </c>
      <c r="K34" s="147"/>
      <c r="L34" s="144">
        <f t="shared" si="35"/>
        <v>0</v>
      </c>
      <c r="M34" s="145">
        <v>1</v>
      </c>
      <c r="N34" s="144">
        <f t="shared" si="36"/>
        <v>48.635000000000005</v>
      </c>
      <c r="O34" s="147">
        <v>2</v>
      </c>
      <c r="P34" s="144">
        <f t="shared" si="37"/>
        <v>97.27000000000001</v>
      </c>
      <c r="Q34" s="145">
        <v>1</v>
      </c>
      <c r="R34" s="144">
        <f t="shared" si="38"/>
        <v>46.491568025135855</v>
      </c>
      <c r="S34" s="147">
        <v>1</v>
      </c>
      <c r="T34" s="144">
        <f t="shared" si="39"/>
        <v>46.491568025135855</v>
      </c>
      <c r="U34" s="145"/>
      <c r="V34" s="144">
        <f t="shared" si="40"/>
        <v>0</v>
      </c>
      <c r="W34" s="147"/>
      <c r="X34" s="144">
        <f t="shared" si="41"/>
        <v>0</v>
      </c>
      <c r="Y34" s="145"/>
      <c r="Z34" s="144">
        <f t="shared" si="42"/>
        <v>0</v>
      </c>
      <c r="AA34" s="147"/>
      <c r="AB34" s="144">
        <f t="shared" si="43"/>
        <v>0</v>
      </c>
      <c r="AC34" s="145"/>
      <c r="AD34" s="144">
        <f t="shared" si="44"/>
        <v>0</v>
      </c>
      <c r="AE34" s="147"/>
      <c r="AF34" s="144">
        <f t="shared" si="45"/>
        <v>0</v>
      </c>
      <c r="AG34" s="145"/>
      <c r="AH34" s="144">
        <f t="shared" si="46"/>
        <v>0</v>
      </c>
      <c r="AI34" s="147"/>
      <c r="AJ34" s="144">
        <f t="shared" si="47"/>
        <v>0</v>
      </c>
      <c r="AK34" s="145"/>
      <c r="AL34" s="144">
        <f t="shared" si="48"/>
        <v>0</v>
      </c>
      <c r="AM34" s="147"/>
      <c r="AN34" s="144">
        <f t="shared" si="49"/>
        <v>0</v>
      </c>
      <c r="AO34" s="145"/>
      <c r="AP34" s="144">
        <f t="shared" si="50"/>
        <v>0</v>
      </c>
      <c r="AQ34" s="147"/>
      <c r="AR34" s="144">
        <f t="shared" si="51"/>
        <v>0</v>
      </c>
      <c r="AS34" s="148">
        <f>AS33</f>
        <v>0</v>
      </c>
      <c r="AT34" s="149">
        <f t="shared" si="52"/>
        <v>0</v>
      </c>
      <c r="AU34" s="150">
        <f>AU33</f>
        <v>0</v>
      </c>
      <c r="AV34" s="144">
        <f t="shared" si="53"/>
        <v>0</v>
      </c>
      <c r="AW34" s="151">
        <f>AW33</f>
        <v>0</v>
      </c>
      <c r="AX34" s="152">
        <f t="shared" si="54"/>
        <v>0</v>
      </c>
      <c r="AY34" s="144">
        <f t="shared" si="55"/>
        <v>0</v>
      </c>
      <c r="AZ34" s="144">
        <f t="shared" si="56"/>
        <v>95.126568025135867</v>
      </c>
      <c r="BA34" s="144">
        <f t="shared" si="57"/>
        <v>94.071943025135852</v>
      </c>
      <c r="BB34" s="153">
        <f t="shared" si="58"/>
        <v>0</v>
      </c>
      <c r="BC34" s="154">
        <f>1-BC33</f>
        <v>0.4</v>
      </c>
      <c r="BD34" s="155">
        <f>BE34-BD33-BD21-BD20</f>
        <v>3.8999999999999979E-2</v>
      </c>
      <c r="BE34" s="221">
        <v>0.65</v>
      </c>
    </row>
    <row r="35" spans="1:58" ht="14.25" x14ac:dyDescent="0.25">
      <c r="A35" s="137"/>
      <c r="B35" s="138"/>
      <c r="C35" s="175" t="str">
        <f>C22</f>
        <v>Winter-
raps</v>
      </c>
      <c r="D35" s="157" t="str">
        <f t="shared" si="59"/>
        <v>ja</v>
      </c>
      <c r="E35" s="158"/>
      <c r="F35" s="159">
        <v>0</v>
      </c>
      <c r="G35" s="160">
        <v>0</v>
      </c>
      <c r="H35" s="165">
        <f t="shared" si="33"/>
        <v>0</v>
      </c>
      <c r="I35" s="162">
        <v>0.7</v>
      </c>
      <c r="J35" s="165">
        <f t="shared" si="34"/>
        <v>96.340999999999994</v>
      </c>
      <c r="K35" s="164">
        <v>0.9</v>
      </c>
      <c r="L35" s="165">
        <f t="shared" si="35"/>
        <v>123.867</v>
      </c>
      <c r="M35" s="162">
        <v>0.5</v>
      </c>
      <c r="N35" s="165">
        <f t="shared" si="36"/>
        <v>24.317500000000003</v>
      </c>
      <c r="O35" s="164">
        <v>1.5</v>
      </c>
      <c r="P35" s="165">
        <f t="shared" si="37"/>
        <v>72.952500000000015</v>
      </c>
      <c r="Q35" s="162">
        <v>1</v>
      </c>
      <c r="R35" s="165">
        <f t="shared" si="38"/>
        <v>46.491568025135855</v>
      </c>
      <c r="S35" s="164">
        <v>1.5</v>
      </c>
      <c r="T35" s="165">
        <f t="shared" si="39"/>
        <v>69.737352037703786</v>
      </c>
      <c r="U35" s="162"/>
      <c r="V35" s="165">
        <f t="shared" si="40"/>
        <v>0</v>
      </c>
      <c r="W35" s="164">
        <v>1</v>
      </c>
      <c r="X35" s="165">
        <f t="shared" si="41"/>
        <v>16.315354141656663</v>
      </c>
      <c r="Y35" s="162"/>
      <c r="Z35" s="165">
        <f t="shared" si="42"/>
        <v>0</v>
      </c>
      <c r="AA35" s="164"/>
      <c r="AB35" s="165">
        <f t="shared" si="43"/>
        <v>0</v>
      </c>
      <c r="AC35" s="162"/>
      <c r="AD35" s="165">
        <f t="shared" si="44"/>
        <v>0</v>
      </c>
      <c r="AE35" s="164"/>
      <c r="AF35" s="165">
        <f t="shared" si="45"/>
        <v>0</v>
      </c>
      <c r="AG35" s="162"/>
      <c r="AH35" s="165">
        <f t="shared" si="46"/>
        <v>0</v>
      </c>
      <c r="AI35" s="164"/>
      <c r="AJ35" s="165">
        <f t="shared" si="47"/>
        <v>0</v>
      </c>
      <c r="AK35" s="162"/>
      <c r="AL35" s="165">
        <f t="shared" si="48"/>
        <v>0</v>
      </c>
      <c r="AM35" s="164"/>
      <c r="AN35" s="165">
        <f t="shared" si="49"/>
        <v>0</v>
      </c>
      <c r="AO35" s="162"/>
      <c r="AP35" s="165">
        <f t="shared" si="50"/>
        <v>0</v>
      </c>
      <c r="AQ35" s="164"/>
      <c r="AR35" s="165">
        <f t="shared" si="51"/>
        <v>0</v>
      </c>
      <c r="AS35" s="166">
        <v>0</v>
      </c>
      <c r="AT35" s="167">
        <f t="shared" si="52"/>
        <v>0</v>
      </c>
      <c r="AU35" s="168">
        <f>AU22</f>
        <v>0</v>
      </c>
      <c r="AV35" s="165">
        <f t="shared" si="53"/>
        <v>0</v>
      </c>
      <c r="AW35" s="169">
        <v>0</v>
      </c>
      <c r="AX35" s="170">
        <f t="shared" si="54"/>
        <v>0</v>
      </c>
      <c r="AY35" s="165">
        <f t="shared" si="55"/>
        <v>0</v>
      </c>
      <c r="AZ35" s="165">
        <f t="shared" si="56"/>
        <v>167.15006802513585</v>
      </c>
      <c r="BA35" s="165">
        <f t="shared" si="57"/>
        <v>233.18258117936043</v>
      </c>
      <c r="BB35" s="222">
        <f t="shared" si="58"/>
        <v>66.032513154224574</v>
      </c>
      <c r="BC35" s="171">
        <v>0.6</v>
      </c>
      <c r="BD35" s="172">
        <f>0.6*BC35*BE36</f>
        <v>0</v>
      </c>
    </row>
    <row r="36" spans="1:58" ht="14.25" x14ac:dyDescent="0.25">
      <c r="A36" s="137"/>
      <c r="B36" s="138"/>
      <c r="C36" s="176"/>
      <c r="D36" s="140" t="str">
        <f t="shared" si="59"/>
        <v>nein</v>
      </c>
      <c r="E36" s="141"/>
      <c r="F36" s="142">
        <v>0</v>
      </c>
      <c r="G36" s="143">
        <v>0</v>
      </c>
      <c r="H36" s="144">
        <f t="shared" si="33"/>
        <v>0</v>
      </c>
      <c r="I36" s="145"/>
      <c r="J36" s="144">
        <f t="shared" si="34"/>
        <v>0</v>
      </c>
      <c r="K36" s="147"/>
      <c r="L36" s="144">
        <f t="shared" si="35"/>
        <v>0</v>
      </c>
      <c r="M36" s="145">
        <v>1</v>
      </c>
      <c r="N36" s="144">
        <f t="shared" si="36"/>
        <v>48.635000000000005</v>
      </c>
      <c r="O36" s="147">
        <v>2</v>
      </c>
      <c r="P36" s="144">
        <f t="shared" si="37"/>
        <v>97.27000000000001</v>
      </c>
      <c r="Q36" s="145">
        <v>1</v>
      </c>
      <c r="R36" s="144">
        <f t="shared" si="38"/>
        <v>46.491568025135855</v>
      </c>
      <c r="S36" s="147">
        <v>1.5</v>
      </c>
      <c r="T36" s="144">
        <f t="shared" si="39"/>
        <v>69.737352037703786</v>
      </c>
      <c r="U36" s="145"/>
      <c r="V36" s="144">
        <f t="shared" si="40"/>
        <v>0</v>
      </c>
      <c r="W36" s="147">
        <v>1</v>
      </c>
      <c r="X36" s="144">
        <f t="shared" si="41"/>
        <v>16.315354141656663</v>
      </c>
      <c r="Y36" s="145"/>
      <c r="Z36" s="144">
        <f t="shared" si="42"/>
        <v>0</v>
      </c>
      <c r="AA36" s="147"/>
      <c r="AB36" s="144">
        <f t="shared" si="43"/>
        <v>0</v>
      </c>
      <c r="AC36" s="145"/>
      <c r="AD36" s="144">
        <f t="shared" si="44"/>
        <v>0</v>
      </c>
      <c r="AE36" s="147"/>
      <c r="AF36" s="144">
        <f t="shared" si="45"/>
        <v>0</v>
      </c>
      <c r="AG36" s="145"/>
      <c r="AH36" s="144">
        <f t="shared" si="46"/>
        <v>0</v>
      </c>
      <c r="AI36" s="147"/>
      <c r="AJ36" s="144">
        <f t="shared" si="47"/>
        <v>0</v>
      </c>
      <c r="AK36" s="145"/>
      <c r="AL36" s="144">
        <f t="shared" si="48"/>
        <v>0</v>
      </c>
      <c r="AM36" s="147"/>
      <c r="AN36" s="144">
        <f t="shared" si="49"/>
        <v>0</v>
      </c>
      <c r="AO36" s="145"/>
      <c r="AP36" s="144">
        <f t="shared" si="50"/>
        <v>0</v>
      </c>
      <c r="AQ36" s="147"/>
      <c r="AR36" s="144">
        <f t="shared" si="51"/>
        <v>0</v>
      </c>
      <c r="AS36" s="148">
        <f>AS35</f>
        <v>0</v>
      </c>
      <c r="AT36" s="149">
        <f t="shared" si="52"/>
        <v>0</v>
      </c>
      <c r="AU36" s="150">
        <f>AU35</f>
        <v>0</v>
      </c>
      <c r="AV36" s="144">
        <f t="shared" si="53"/>
        <v>0</v>
      </c>
      <c r="AW36" s="151">
        <f>AW35</f>
        <v>0</v>
      </c>
      <c r="AX36" s="152">
        <f t="shared" si="54"/>
        <v>0</v>
      </c>
      <c r="AY36" s="144">
        <f t="shared" si="55"/>
        <v>0</v>
      </c>
      <c r="AZ36" s="144">
        <f t="shared" si="56"/>
        <v>95.126568025135867</v>
      </c>
      <c r="BA36" s="144">
        <f t="shared" si="57"/>
        <v>133.63308117936046</v>
      </c>
      <c r="BB36" s="153">
        <f t="shared" si="58"/>
        <v>38.506513154224592</v>
      </c>
      <c r="BC36" s="154">
        <f>1-BC35</f>
        <v>0.4</v>
      </c>
      <c r="BD36" s="155">
        <f>BE36-BD35-BD23-BD22</f>
        <v>0</v>
      </c>
      <c r="BE36" s="221">
        <v>0</v>
      </c>
    </row>
    <row r="37" spans="1:58" ht="14.25" x14ac:dyDescent="0.25">
      <c r="A37" s="137"/>
      <c r="B37" s="138"/>
      <c r="C37" s="177" t="str">
        <f>C24</f>
        <v>Zucker-
rüben</v>
      </c>
      <c r="D37" s="157" t="str">
        <f t="shared" si="59"/>
        <v>ja</v>
      </c>
      <c r="E37" s="158"/>
      <c r="F37" s="159">
        <v>0</v>
      </c>
      <c r="G37" s="160">
        <v>0</v>
      </c>
      <c r="H37" s="165">
        <f t="shared" si="33"/>
        <v>0</v>
      </c>
      <c r="I37" s="162">
        <v>0.6</v>
      </c>
      <c r="J37" s="165">
        <f t="shared" si="34"/>
        <v>82.577999999999989</v>
      </c>
      <c r="K37" s="164">
        <v>0.7</v>
      </c>
      <c r="L37" s="165">
        <f t="shared" si="35"/>
        <v>96.340999999999994</v>
      </c>
      <c r="M37" s="162">
        <v>0.5</v>
      </c>
      <c r="N37" s="165">
        <f t="shared" si="36"/>
        <v>24.317500000000003</v>
      </c>
      <c r="O37" s="164">
        <v>1.5</v>
      </c>
      <c r="P37" s="165">
        <f t="shared" si="37"/>
        <v>72.952500000000015</v>
      </c>
      <c r="Q37" s="162">
        <v>1</v>
      </c>
      <c r="R37" s="165">
        <f t="shared" si="38"/>
        <v>46.491568025135855</v>
      </c>
      <c r="S37" s="164">
        <v>1</v>
      </c>
      <c r="T37" s="165">
        <f t="shared" si="39"/>
        <v>46.491568025135855</v>
      </c>
      <c r="U37" s="162"/>
      <c r="V37" s="165">
        <f t="shared" si="40"/>
        <v>0</v>
      </c>
      <c r="W37" s="164"/>
      <c r="X37" s="165">
        <f t="shared" si="41"/>
        <v>0</v>
      </c>
      <c r="Y37" s="162"/>
      <c r="Z37" s="165">
        <f t="shared" si="42"/>
        <v>0</v>
      </c>
      <c r="AA37" s="164"/>
      <c r="AB37" s="165">
        <f t="shared" si="43"/>
        <v>0</v>
      </c>
      <c r="AC37" s="162"/>
      <c r="AD37" s="165">
        <f t="shared" si="44"/>
        <v>0</v>
      </c>
      <c r="AE37" s="164"/>
      <c r="AF37" s="165">
        <f t="shared" si="45"/>
        <v>0</v>
      </c>
      <c r="AG37" s="162"/>
      <c r="AH37" s="165">
        <f t="shared" si="46"/>
        <v>0</v>
      </c>
      <c r="AI37" s="164"/>
      <c r="AJ37" s="165">
        <f t="shared" si="47"/>
        <v>0</v>
      </c>
      <c r="AK37" s="162"/>
      <c r="AL37" s="165">
        <f t="shared" si="48"/>
        <v>0</v>
      </c>
      <c r="AM37" s="164"/>
      <c r="AN37" s="165">
        <f t="shared" si="49"/>
        <v>0</v>
      </c>
      <c r="AO37" s="162"/>
      <c r="AP37" s="165">
        <f t="shared" si="50"/>
        <v>0</v>
      </c>
      <c r="AQ37" s="164"/>
      <c r="AR37" s="165">
        <f t="shared" si="51"/>
        <v>0</v>
      </c>
      <c r="AS37" s="166">
        <v>0</v>
      </c>
      <c r="AT37" s="167">
        <f t="shared" si="52"/>
        <v>0</v>
      </c>
      <c r="AU37" s="168">
        <f>AU24</f>
        <v>0</v>
      </c>
      <c r="AV37" s="165">
        <f t="shared" si="53"/>
        <v>0</v>
      </c>
      <c r="AW37" s="169">
        <v>0</v>
      </c>
      <c r="AX37" s="170">
        <f t="shared" si="54"/>
        <v>0</v>
      </c>
      <c r="AY37" s="165">
        <f t="shared" si="55"/>
        <v>0</v>
      </c>
      <c r="AZ37" s="165">
        <f t="shared" si="56"/>
        <v>153.38706802513585</v>
      </c>
      <c r="BA37" s="165">
        <f t="shared" si="57"/>
        <v>166.09544302513584</v>
      </c>
      <c r="BB37" s="222">
        <f t="shared" si="58"/>
        <v>12.70837499999999</v>
      </c>
      <c r="BC37" s="171">
        <v>0.4</v>
      </c>
      <c r="BD37" s="172">
        <f>0.66667*BC37*BE38</f>
        <v>4.00002E-2</v>
      </c>
    </row>
    <row r="38" spans="1:58" ht="15" thickBot="1" x14ac:dyDescent="0.3">
      <c r="A38" s="137"/>
      <c r="B38" s="138"/>
      <c r="C38" s="177"/>
      <c r="D38" s="178" t="str">
        <f t="shared" si="59"/>
        <v>nein</v>
      </c>
      <c r="E38" s="179"/>
      <c r="F38" s="180">
        <v>0</v>
      </c>
      <c r="G38" s="181">
        <v>0</v>
      </c>
      <c r="H38" s="186">
        <f t="shared" si="33"/>
        <v>0</v>
      </c>
      <c r="I38" s="183"/>
      <c r="J38" s="186">
        <f t="shared" si="34"/>
        <v>0</v>
      </c>
      <c r="K38" s="185"/>
      <c r="L38" s="186">
        <f t="shared" si="35"/>
        <v>0</v>
      </c>
      <c r="M38" s="183">
        <v>1</v>
      </c>
      <c r="N38" s="186">
        <f t="shared" si="36"/>
        <v>48.635000000000005</v>
      </c>
      <c r="O38" s="185">
        <v>1.5</v>
      </c>
      <c r="P38" s="186">
        <f t="shared" si="37"/>
        <v>72.952500000000015</v>
      </c>
      <c r="Q38" s="183">
        <v>1</v>
      </c>
      <c r="R38" s="186">
        <f t="shared" si="38"/>
        <v>46.491568025135855</v>
      </c>
      <c r="S38" s="185">
        <v>1.5</v>
      </c>
      <c r="T38" s="186">
        <f t="shared" si="39"/>
        <v>69.737352037703786</v>
      </c>
      <c r="U38" s="183"/>
      <c r="V38" s="186">
        <f t="shared" si="40"/>
        <v>0</v>
      </c>
      <c r="W38" s="185"/>
      <c r="X38" s="186">
        <f t="shared" si="41"/>
        <v>0</v>
      </c>
      <c r="Y38" s="183"/>
      <c r="Z38" s="186">
        <f t="shared" si="42"/>
        <v>0</v>
      </c>
      <c r="AA38" s="185"/>
      <c r="AB38" s="186">
        <f t="shared" si="43"/>
        <v>0</v>
      </c>
      <c r="AC38" s="183"/>
      <c r="AD38" s="186">
        <f t="shared" si="44"/>
        <v>0</v>
      </c>
      <c r="AE38" s="185"/>
      <c r="AF38" s="186">
        <f t="shared" si="45"/>
        <v>0</v>
      </c>
      <c r="AG38" s="183"/>
      <c r="AH38" s="186">
        <f t="shared" si="46"/>
        <v>0</v>
      </c>
      <c r="AI38" s="185"/>
      <c r="AJ38" s="186">
        <f t="shared" si="47"/>
        <v>0</v>
      </c>
      <c r="AK38" s="183"/>
      <c r="AL38" s="186">
        <f t="shared" si="48"/>
        <v>0</v>
      </c>
      <c r="AM38" s="185"/>
      <c r="AN38" s="186">
        <f t="shared" si="49"/>
        <v>0</v>
      </c>
      <c r="AO38" s="183"/>
      <c r="AP38" s="186">
        <f t="shared" si="50"/>
        <v>0</v>
      </c>
      <c r="AQ38" s="185"/>
      <c r="AR38" s="186">
        <f t="shared" si="51"/>
        <v>0</v>
      </c>
      <c r="AS38" s="187">
        <f>AS37</f>
        <v>0</v>
      </c>
      <c r="AT38" s="188">
        <f t="shared" si="52"/>
        <v>0</v>
      </c>
      <c r="AU38" s="189">
        <f>AU37</f>
        <v>0</v>
      </c>
      <c r="AV38" s="186">
        <f t="shared" si="53"/>
        <v>0</v>
      </c>
      <c r="AW38" s="190">
        <f>AW37</f>
        <v>0</v>
      </c>
      <c r="AX38" s="191">
        <f t="shared" si="54"/>
        <v>0</v>
      </c>
      <c r="AY38" s="186">
        <f t="shared" si="55"/>
        <v>0</v>
      </c>
      <c r="AZ38" s="186">
        <f t="shared" si="56"/>
        <v>95.126568025135867</v>
      </c>
      <c r="BA38" s="186">
        <f t="shared" si="57"/>
        <v>93.000227037703809</v>
      </c>
      <c r="BB38" s="182">
        <f t="shared" si="58"/>
        <v>0</v>
      </c>
      <c r="BC38" s="154">
        <f>1-BC37</f>
        <v>0.6</v>
      </c>
      <c r="BD38" s="192">
        <f>BE38-BD37-BD25-BD24</f>
        <v>6.0000299999999993E-2</v>
      </c>
      <c r="BE38" s="223">
        <f>1-BE36-BE34-BE32-BE30</f>
        <v>0.15</v>
      </c>
      <c r="BF38" s="224"/>
    </row>
    <row r="39" spans="1:58" ht="14.25" x14ac:dyDescent="0.25">
      <c r="A39" s="137"/>
      <c r="B39" s="138"/>
      <c r="C39" s="193" t="s">
        <v>69</v>
      </c>
      <c r="D39" s="121" t="str">
        <f t="shared" si="59"/>
        <v>ja</v>
      </c>
      <c r="E39" s="194"/>
      <c r="F39" s="195"/>
      <c r="G39" s="196"/>
      <c r="H39" s="197"/>
      <c r="I39" s="198"/>
      <c r="J39" s="197"/>
      <c r="K39" s="199"/>
      <c r="L39" s="197"/>
      <c r="M39" s="198"/>
      <c r="N39" s="197"/>
      <c r="O39" s="199"/>
      <c r="P39" s="197"/>
      <c r="Q39" s="198"/>
      <c r="R39" s="197"/>
      <c r="S39" s="199"/>
      <c r="T39" s="197"/>
      <c r="U39" s="198"/>
      <c r="V39" s="197"/>
      <c r="W39" s="199"/>
      <c r="X39" s="197"/>
      <c r="Y39" s="198"/>
      <c r="Z39" s="197"/>
      <c r="AA39" s="199"/>
      <c r="AB39" s="197"/>
      <c r="AC39" s="198"/>
      <c r="AD39" s="197"/>
      <c r="AE39" s="199"/>
      <c r="AF39" s="197"/>
      <c r="AG39" s="198"/>
      <c r="AH39" s="197"/>
      <c r="AI39" s="199"/>
      <c r="AJ39" s="197"/>
      <c r="AK39" s="198"/>
      <c r="AL39" s="197"/>
      <c r="AM39" s="199"/>
      <c r="AN39" s="197"/>
      <c r="AO39" s="198"/>
      <c r="AP39" s="197"/>
      <c r="AQ39" s="199"/>
      <c r="AR39" s="197"/>
      <c r="AS39" s="200"/>
      <c r="AT39" s="200"/>
      <c r="AU39" s="201"/>
      <c r="AV39" s="197"/>
      <c r="AW39" s="201"/>
      <c r="AX39" s="201"/>
      <c r="AY39" s="197"/>
      <c r="AZ39" s="197"/>
      <c r="BA39" s="202"/>
      <c r="BB39" s="220">
        <f>(BB29*BD29+BB31*BD31+BB33*BD33+BB35*BD35+BB37*BD37)/(BD29+BD31+BD33+BD35+BD37)</f>
        <v>22.033320929017226</v>
      </c>
      <c r="BC39" s="203"/>
      <c r="BD39" s="136">
        <f>BD29+BD31+BD33+BD35+BD37</f>
        <v>0.17450020350000001</v>
      </c>
    </row>
    <row r="40" spans="1:58" ht="15" thickBot="1" x14ac:dyDescent="0.3">
      <c r="A40" s="137"/>
      <c r="B40" s="138"/>
      <c r="C40" s="177"/>
      <c r="D40" s="178" t="str">
        <f t="shared" si="59"/>
        <v>nein</v>
      </c>
      <c r="E40" s="204"/>
      <c r="F40" s="205"/>
      <c r="G40" s="206"/>
      <c r="H40" s="115"/>
      <c r="I40" s="207"/>
      <c r="J40" s="115"/>
      <c r="K40" s="208"/>
      <c r="L40" s="115"/>
      <c r="M40" s="207"/>
      <c r="N40" s="115"/>
      <c r="O40" s="208"/>
      <c r="P40" s="115"/>
      <c r="Q40" s="207"/>
      <c r="R40" s="115"/>
      <c r="S40" s="208"/>
      <c r="T40" s="115"/>
      <c r="U40" s="207"/>
      <c r="V40" s="115"/>
      <c r="W40" s="208"/>
      <c r="X40" s="115"/>
      <c r="Y40" s="207"/>
      <c r="Z40" s="115"/>
      <c r="AA40" s="208"/>
      <c r="AB40" s="115"/>
      <c r="AC40" s="207"/>
      <c r="AD40" s="115"/>
      <c r="AE40" s="208"/>
      <c r="AF40" s="115"/>
      <c r="AG40" s="207"/>
      <c r="AH40" s="115"/>
      <c r="AI40" s="208"/>
      <c r="AJ40" s="115"/>
      <c r="AK40" s="207"/>
      <c r="AL40" s="115"/>
      <c r="AM40" s="208"/>
      <c r="AN40" s="115"/>
      <c r="AO40" s="207"/>
      <c r="AP40" s="115"/>
      <c r="AQ40" s="208"/>
      <c r="AR40" s="115"/>
      <c r="AS40" s="209"/>
      <c r="AT40" s="209"/>
      <c r="AU40" s="210"/>
      <c r="AV40" s="115"/>
      <c r="AW40" s="210"/>
      <c r="AX40" s="210"/>
      <c r="AY40" s="115"/>
      <c r="AZ40" s="115"/>
      <c r="BA40" s="116"/>
      <c r="BB40" s="225">
        <f>(BB30*BD30+BB32*BD32+BB34*BD34+BB36*BD36+BB38*BD38)/(BD30+BD32+BD34+BD36+BD38)</f>
        <v>5.0055193071691155</v>
      </c>
      <c r="BC40" s="211"/>
      <c r="BD40" s="192">
        <f>BD30+BD32+BD34+BD36+BD38</f>
        <v>0.13300034649999998</v>
      </c>
    </row>
    <row r="41" spans="1:58" ht="15.75" thickBot="1" x14ac:dyDescent="0.3">
      <c r="A41" s="137"/>
      <c r="B41" s="212"/>
      <c r="C41" s="213"/>
      <c r="D41" s="214" t="s">
        <v>70</v>
      </c>
      <c r="E41" s="226"/>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27"/>
      <c r="BB41" s="228">
        <f>(BB39*BD39+BB40*BD40)/(BD39+BD40)</f>
        <v>14.668444619563275</v>
      </c>
      <c r="BC41" s="217"/>
      <c r="BD41" s="218">
        <f>BD39+BD40</f>
        <v>0.30750054999999998</v>
      </c>
    </row>
    <row r="42" spans="1:58" ht="16.5" thickBot="1" x14ac:dyDescent="0.3">
      <c r="A42" s="229" t="s">
        <v>71</v>
      </c>
      <c r="B42" s="230"/>
      <c r="C42" s="230"/>
      <c r="D42" s="231"/>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2"/>
      <c r="BB42" s="233">
        <f>BB28*(BD28)+BB41*(BD41)</f>
        <v>62.926143318155752</v>
      </c>
      <c r="BC42" s="234"/>
      <c r="BD42" s="235"/>
    </row>
    <row r="43" spans="1:58" s="239" customFormat="1" ht="14.25" x14ac:dyDescent="0.25">
      <c r="A43" s="119" t="s">
        <v>63</v>
      </c>
      <c r="B43" s="236" t="s">
        <v>62</v>
      </c>
      <c r="C43" s="120" t="s">
        <v>61</v>
      </c>
      <c r="D43" s="121" t="str">
        <f>D37</f>
        <v>ja</v>
      </c>
      <c r="E43" s="122"/>
      <c r="F43" s="123">
        <v>0</v>
      </c>
      <c r="G43" s="124">
        <v>0</v>
      </c>
      <c r="H43" s="134">
        <f t="shared" ref="H43:H54" si="60">IF(F43=0,0,F43*G43+$G$8+$G$9)</f>
        <v>0</v>
      </c>
      <c r="I43" s="126">
        <v>0.1</v>
      </c>
      <c r="J43" s="134">
        <f t="shared" ref="J43:J54" si="61">I43*(I$13*$B$9+K$13)</f>
        <v>13.763</v>
      </c>
      <c r="K43" s="237">
        <v>0.1</v>
      </c>
      <c r="L43" s="134">
        <f t="shared" ref="L43:L54" si="62">K43*(I$13*$B$9+K$13)</f>
        <v>13.763</v>
      </c>
      <c r="M43" s="126">
        <v>0.9</v>
      </c>
      <c r="N43" s="134">
        <f t="shared" ref="N43:N54" si="63">M43*(M$13*$B$9+O$13)</f>
        <v>43.771500000000003</v>
      </c>
      <c r="O43" s="237">
        <v>2.5</v>
      </c>
      <c r="P43" s="134">
        <f t="shared" ref="P43:P54" si="64">O43*(M$13*$B$9+O$13)</f>
        <v>121.58750000000001</v>
      </c>
      <c r="Q43" s="126">
        <v>1</v>
      </c>
      <c r="R43" s="134">
        <f t="shared" ref="R43:R54" si="65">Q43*(Q$13*$B$9+S$13)</f>
        <v>46.491568025135855</v>
      </c>
      <c r="S43" s="237">
        <v>1.5</v>
      </c>
      <c r="T43" s="134">
        <f t="shared" ref="T43:T54" si="66">S43*(Q$13*$B$9+S$13)</f>
        <v>69.737352037703786</v>
      </c>
      <c r="U43" s="126"/>
      <c r="V43" s="134">
        <f t="shared" ref="V43:V54" si="67">U43*(U$13*$B$9+W$13)</f>
        <v>0</v>
      </c>
      <c r="W43" s="237"/>
      <c r="X43" s="134">
        <f t="shared" ref="X43:X54" si="68">W43*(U$13*$B$9+W$13)</f>
        <v>0</v>
      </c>
      <c r="Y43" s="126">
        <v>0.4</v>
      </c>
      <c r="Z43" s="134">
        <f t="shared" ref="Z43:Z54" si="69">Y43*(Y$13*$B$9+AA$13)</f>
        <v>21.128190476190479</v>
      </c>
      <c r="AA43" s="237">
        <v>1</v>
      </c>
      <c r="AB43" s="134">
        <f t="shared" ref="AB43:AB54" si="70">AA43*(Y$13*$B$9+AA$13)</f>
        <v>52.820476190476192</v>
      </c>
      <c r="AC43" s="126"/>
      <c r="AD43" s="134">
        <f t="shared" ref="AD43:AD54" si="71">AC43*(AC$13*$B$9+AE$13)</f>
        <v>0</v>
      </c>
      <c r="AE43" s="237"/>
      <c r="AF43" s="134">
        <f t="shared" ref="AF43:AF54" si="72">AE43*(AC$13*$B$9+AE$13)</f>
        <v>0</v>
      </c>
      <c r="AG43" s="126"/>
      <c r="AH43" s="134">
        <f t="shared" ref="AH43:AH54" si="73">AG43*(AG$13*$B$9+AI$13)</f>
        <v>0</v>
      </c>
      <c r="AI43" s="237"/>
      <c r="AJ43" s="134">
        <f t="shared" ref="AJ43:AJ54" si="74">AI43*(AG$13*$B$9+AI$13)</f>
        <v>0</v>
      </c>
      <c r="AK43" s="126"/>
      <c r="AL43" s="134">
        <f t="shared" ref="AL43:AL54" si="75">AK43*(AK$13*$B$9+AM$13)</f>
        <v>0</v>
      </c>
      <c r="AM43" s="237"/>
      <c r="AN43" s="134">
        <f t="shared" ref="AN43:AN54" si="76">AM43*(AK$13*$B$9+AM$13)</f>
        <v>0</v>
      </c>
      <c r="AO43" s="126"/>
      <c r="AP43" s="134">
        <f t="shared" ref="AP43:AP54" si="77">AO43*(AO$13*$B$9+AQ$13)</f>
        <v>0</v>
      </c>
      <c r="AQ43" s="237"/>
      <c r="AR43" s="134">
        <f t="shared" ref="AR43:AR54" si="78">AQ43*(AO$13*$B$9+AQ$13)</f>
        <v>0</v>
      </c>
      <c r="AS43" s="129">
        <v>0</v>
      </c>
      <c r="AT43" s="130">
        <f>AS43*0.9</f>
        <v>0</v>
      </c>
      <c r="AU43" s="131">
        <v>1.0000000000000001E-5</v>
      </c>
      <c r="AV43" s="134">
        <f t="shared" ref="AV43:AV54" si="79">AU43*(AS43-AT43)</f>
        <v>0</v>
      </c>
      <c r="AW43" s="132">
        <v>0</v>
      </c>
      <c r="AX43" s="133">
        <f t="shared" ref="AX43:AX54" si="80">AU43-AW43</f>
        <v>1.0000000000000001E-5</v>
      </c>
      <c r="AY43" s="134">
        <f>(AU43-AX43)*AT43</f>
        <v>0</v>
      </c>
      <c r="AZ43" s="134">
        <f t="shared" ref="AZ43:AZ54" si="81">IF(SUM(AN43+AC43+Y43+U43+Q43+M43+I43)=0,0,J43+N43+R43+V43+Z43+AD43+AG43+AK43+AO43+AW43)</f>
        <v>125.15425850132634</v>
      </c>
      <c r="BA43" s="134">
        <f t="shared" ref="BA43:BA54" si="82">IF(SUM(AQ43+AE43+AA43+W43+S43+O43+K43)=0,0,H43+L43+P43+T43+X43+AB43+AF43+AJ43+AN43+AR43+AV43+AY43-$G$11)</f>
        <v>208.21870322817998</v>
      </c>
      <c r="BB43" s="134">
        <f t="shared" ref="BB43:BB54" si="83">IF(BA43-AZ43&gt;0,BA43-AZ43,0)</f>
        <v>83.064444726853637</v>
      </c>
      <c r="BC43" s="238">
        <v>0.6</v>
      </c>
      <c r="BD43" s="136">
        <f>BE59*0.6*BC43</f>
        <v>7.1999999999999995E-2</v>
      </c>
    </row>
    <row r="44" spans="1:58" s="239" customFormat="1" ht="14.25" x14ac:dyDescent="0.25">
      <c r="A44" s="137"/>
      <c r="B44" s="240"/>
      <c r="C44" s="139"/>
      <c r="D44" s="140" t="str">
        <f>D25</f>
        <v>nein</v>
      </c>
      <c r="E44" s="141"/>
      <c r="F44" s="142">
        <v>0</v>
      </c>
      <c r="G44" s="143">
        <v>0</v>
      </c>
      <c r="H44" s="153">
        <f t="shared" si="60"/>
        <v>0</v>
      </c>
      <c r="I44" s="145">
        <v>0</v>
      </c>
      <c r="J44" s="153">
        <f t="shared" si="61"/>
        <v>0</v>
      </c>
      <c r="K44" s="147">
        <v>0</v>
      </c>
      <c r="L44" s="153">
        <f t="shared" si="62"/>
        <v>0</v>
      </c>
      <c r="M44" s="145">
        <v>1</v>
      </c>
      <c r="N44" s="153">
        <f t="shared" si="63"/>
        <v>48.635000000000005</v>
      </c>
      <c r="O44" s="147">
        <v>2</v>
      </c>
      <c r="P44" s="153">
        <f t="shared" si="64"/>
        <v>97.27000000000001</v>
      </c>
      <c r="Q44" s="145">
        <v>1</v>
      </c>
      <c r="R44" s="153">
        <f t="shared" si="65"/>
        <v>46.491568025135855</v>
      </c>
      <c r="S44" s="147">
        <v>2</v>
      </c>
      <c r="T44" s="153">
        <f t="shared" si="66"/>
        <v>92.98313605027171</v>
      </c>
      <c r="U44" s="145"/>
      <c r="V44" s="153">
        <f t="shared" si="67"/>
        <v>0</v>
      </c>
      <c r="W44" s="147"/>
      <c r="X44" s="153">
        <f t="shared" si="68"/>
        <v>0</v>
      </c>
      <c r="Y44" s="145">
        <v>0.5</v>
      </c>
      <c r="Z44" s="153">
        <f t="shared" si="69"/>
        <v>26.410238095238096</v>
      </c>
      <c r="AA44" s="147">
        <v>1</v>
      </c>
      <c r="AB44" s="153">
        <f t="shared" si="70"/>
        <v>52.820476190476192</v>
      </c>
      <c r="AC44" s="145"/>
      <c r="AD44" s="153">
        <f t="shared" si="71"/>
        <v>0</v>
      </c>
      <c r="AE44" s="147"/>
      <c r="AF44" s="153">
        <f t="shared" si="72"/>
        <v>0</v>
      </c>
      <c r="AG44" s="145"/>
      <c r="AH44" s="153">
        <f t="shared" si="73"/>
        <v>0</v>
      </c>
      <c r="AI44" s="147"/>
      <c r="AJ44" s="153">
        <f t="shared" si="74"/>
        <v>0</v>
      </c>
      <c r="AK44" s="145"/>
      <c r="AL44" s="153">
        <f t="shared" si="75"/>
        <v>0</v>
      </c>
      <c r="AM44" s="147"/>
      <c r="AN44" s="153">
        <f t="shared" si="76"/>
        <v>0</v>
      </c>
      <c r="AO44" s="145"/>
      <c r="AP44" s="153">
        <f t="shared" si="77"/>
        <v>0</v>
      </c>
      <c r="AQ44" s="147"/>
      <c r="AR44" s="153">
        <f t="shared" si="78"/>
        <v>0</v>
      </c>
      <c r="AS44" s="148">
        <f>AS43</f>
        <v>0</v>
      </c>
      <c r="AT44" s="149">
        <f t="shared" ref="AT44" si="84">AS44*0.9</f>
        <v>0</v>
      </c>
      <c r="AU44" s="150">
        <f>AU43</f>
        <v>1.0000000000000001E-5</v>
      </c>
      <c r="AV44" s="153">
        <f t="shared" si="79"/>
        <v>0</v>
      </c>
      <c r="AW44" s="151">
        <f>AW43</f>
        <v>0</v>
      </c>
      <c r="AX44" s="152">
        <f t="shared" si="80"/>
        <v>1.0000000000000001E-5</v>
      </c>
      <c r="AY44" s="153">
        <f t="shared" ref="AY44" si="85">(AU44-AX44)*AT44</f>
        <v>0</v>
      </c>
      <c r="AZ44" s="153">
        <f t="shared" si="81"/>
        <v>121.53680612037397</v>
      </c>
      <c r="BA44" s="153">
        <f t="shared" si="82"/>
        <v>193.38398724074793</v>
      </c>
      <c r="BB44" s="153">
        <f t="shared" si="83"/>
        <v>71.847181120373961</v>
      </c>
      <c r="BC44" s="241">
        <v>0.4</v>
      </c>
      <c r="BD44" s="155">
        <f>0.6*BC44*BE59</f>
        <v>4.8000000000000001E-2</v>
      </c>
    </row>
    <row r="45" spans="1:58" ht="14.25" x14ac:dyDescent="0.25">
      <c r="A45" s="137"/>
      <c r="B45" s="240"/>
      <c r="C45" s="242" t="s">
        <v>63</v>
      </c>
      <c r="D45" s="157" t="str">
        <f t="shared" ref="D45:D54" si="86">D29</f>
        <v>ja</v>
      </c>
      <c r="E45" s="158"/>
      <c r="F45" s="159">
        <v>0</v>
      </c>
      <c r="G45" s="160">
        <v>0</v>
      </c>
      <c r="H45" s="165">
        <f t="shared" si="60"/>
        <v>0</v>
      </c>
      <c r="I45" s="162">
        <v>0.6</v>
      </c>
      <c r="J45" s="165">
        <f t="shared" si="61"/>
        <v>82.577999999999989</v>
      </c>
      <c r="K45" s="164">
        <v>0.8</v>
      </c>
      <c r="L45" s="165">
        <f t="shared" si="62"/>
        <v>110.104</v>
      </c>
      <c r="M45" s="162">
        <v>0.4</v>
      </c>
      <c r="N45" s="165">
        <f t="shared" si="63"/>
        <v>19.454000000000004</v>
      </c>
      <c r="O45" s="164">
        <v>1.5</v>
      </c>
      <c r="P45" s="165">
        <f t="shared" si="64"/>
        <v>72.952500000000015</v>
      </c>
      <c r="Q45" s="162">
        <v>1</v>
      </c>
      <c r="R45" s="165">
        <f t="shared" si="65"/>
        <v>46.491568025135855</v>
      </c>
      <c r="S45" s="164">
        <v>1.5</v>
      </c>
      <c r="T45" s="165">
        <f t="shared" si="66"/>
        <v>69.737352037703786</v>
      </c>
      <c r="U45" s="162"/>
      <c r="V45" s="165">
        <f t="shared" si="67"/>
        <v>0</v>
      </c>
      <c r="W45" s="164"/>
      <c r="X45" s="165">
        <f t="shared" si="68"/>
        <v>0</v>
      </c>
      <c r="Y45" s="162">
        <v>1.3</v>
      </c>
      <c r="Z45" s="165">
        <f t="shared" si="69"/>
        <v>68.666619047619051</v>
      </c>
      <c r="AA45" s="164">
        <v>2</v>
      </c>
      <c r="AB45" s="165">
        <f t="shared" si="70"/>
        <v>105.64095238095238</v>
      </c>
      <c r="AC45" s="162"/>
      <c r="AD45" s="165">
        <f t="shared" si="71"/>
        <v>0</v>
      </c>
      <c r="AE45" s="164"/>
      <c r="AF45" s="165">
        <f t="shared" si="72"/>
        <v>0</v>
      </c>
      <c r="AG45" s="162"/>
      <c r="AH45" s="165">
        <f t="shared" si="73"/>
        <v>0</v>
      </c>
      <c r="AI45" s="164"/>
      <c r="AJ45" s="165">
        <f t="shared" si="74"/>
        <v>0</v>
      </c>
      <c r="AK45" s="162"/>
      <c r="AL45" s="165">
        <f t="shared" si="75"/>
        <v>0</v>
      </c>
      <c r="AM45" s="164"/>
      <c r="AN45" s="165">
        <f t="shared" si="76"/>
        <v>0</v>
      </c>
      <c r="AO45" s="162"/>
      <c r="AP45" s="165">
        <f t="shared" si="77"/>
        <v>0</v>
      </c>
      <c r="AQ45" s="164"/>
      <c r="AR45" s="165">
        <f t="shared" si="78"/>
        <v>0</v>
      </c>
      <c r="AS45" s="166">
        <v>0</v>
      </c>
      <c r="AT45" s="167">
        <f>AS45*0.9</f>
        <v>0</v>
      </c>
      <c r="AU45" s="168">
        <f>AU43</f>
        <v>1.0000000000000001E-5</v>
      </c>
      <c r="AV45" s="165">
        <f t="shared" si="79"/>
        <v>0</v>
      </c>
      <c r="AW45" s="169">
        <v>0</v>
      </c>
      <c r="AX45" s="170">
        <f t="shared" si="80"/>
        <v>1.0000000000000001E-5</v>
      </c>
      <c r="AY45" s="165">
        <f>(AU45-AX45)*AT45</f>
        <v>0</v>
      </c>
      <c r="AZ45" s="165">
        <f t="shared" si="81"/>
        <v>217.1901870727549</v>
      </c>
      <c r="BA45" s="165">
        <f t="shared" si="82"/>
        <v>308.74517941865622</v>
      </c>
      <c r="BB45" s="222">
        <f t="shared" si="83"/>
        <v>91.554992345901326</v>
      </c>
      <c r="BC45" s="243">
        <v>0.7</v>
      </c>
      <c r="BD45" s="172">
        <f>0.666667*BC45*BE61</f>
        <v>0.14000007</v>
      </c>
    </row>
    <row r="46" spans="1:58" ht="14.25" x14ac:dyDescent="0.25">
      <c r="A46" s="137"/>
      <c r="B46" s="240"/>
      <c r="C46" s="139"/>
      <c r="D46" s="140" t="str">
        <f t="shared" si="86"/>
        <v>nein</v>
      </c>
      <c r="E46" s="141"/>
      <c r="F46" s="142">
        <v>0</v>
      </c>
      <c r="G46" s="143">
        <v>0</v>
      </c>
      <c r="H46" s="144">
        <f t="shared" si="60"/>
        <v>0</v>
      </c>
      <c r="I46" s="145"/>
      <c r="J46" s="144">
        <f t="shared" si="61"/>
        <v>0</v>
      </c>
      <c r="K46" s="147"/>
      <c r="L46" s="144">
        <f t="shared" si="62"/>
        <v>0</v>
      </c>
      <c r="M46" s="145">
        <v>1</v>
      </c>
      <c r="N46" s="144">
        <f t="shared" si="63"/>
        <v>48.635000000000005</v>
      </c>
      <c r="O46" s="147">
        <v>2.5</v>
      </c>
      <c r="P46" s="144">
        <f t="shared" si="64"/>
        <v>121.58750000000001</v>
      </c>
      <c r="Q46" s="145">
        <v>1</v>
      </c>
      <c r="R46" s="144">
        <f t="shared" si="65"/>
        <v>46.491568025135855</v>
      </c>
      <c r="S46" s="147">
        <v>1.5</v>
      </c>
      <c r="T46" s="144">
        <f t="shared" si="66"/>
        <v>69.737352037703786</v>
      </c>
      <c r="U46" s="145"/>
      <c r="V46" s="144">
        <f t="shared" si="67"/>
        <v>0</v>
      </c>
      <c r="W46" s="147"/>
      <c r="X46" s="144">
        <f t="shared" si="68"/>
        <v>0</v>
      </c>
      <c r="Y46" s="145">
        <v>1.5</v>
      </c>
      <c r="Z46" s="144">
        <f t="shared" si="69"/>
        <v>79.230714285714285</v>
      </c>
      <c r="AA46" s="147">
        <v>2</v>
      </c>
      <c r="AB46" s="144">
        <f t="shared" si="70"/>
        <v>105.64095238095238</v>
      </c>
      <c r="AC46" s="145"/>
      <c r="AD46" s="144">
        <f t="shared" si="71"/>
        <v>0</v>
      </c>
      <c r="AE46" s="147"/>
      <c r="AF46" s="144">
        <f t="shared" si="72"/>
        <v>0</v>
      </c>
      <c r="AG46" s="145"/>
      <c r="AH46" s="144">
        <f t="shared" si="73"/>
        <v>0</v>
      </c>
      <c r="AI46" s="147"/>
      <c r="AJ46" s="144">
        <f t="shared" si="74"/>
        <v>0</v>
      </c>
      <c r="AK46" s="145"/>
      <c r="AL46" s="144">
        <f t="shared" si="75"/>
        <v>0</v>
      </c>
      <c r="AM46" s="147"/>
      <c r="AN46" s="144">
        <f t="shared" si="76"/>
        <v>0</v>
      </c>
      <c r="AO46" s="145"/>
      <c r="AP46" s="144">
        <f t="shared" si="77"/>
        <v>0</v>
      </c>
      <c r="AQ46" s="147"/>
      <c r="AR46" s="144">
        <f t="shared" si="78"/>
        <v>0</v>
      </c>
      <c r="AS46" s="148">
        <f>AS45</f>
        <v>0</v>
      </c>
      <c r="AT46" s="149">
        <f t="shared" ref="AT46" si="87">AS46*0.9</f>
        <v>0</v>
      </c>
      <c r="AU46" s="150">
        <f>AU45</f>
        <v>1.0000000000000001E-5</v>
      </c>
      <c r="AV46" s="144">
        <f t="shared" si="79"/>
        <v>0</v>
      </c>
      <c r="AW46" s="151">
        <f>AW45</f>
        <v>0</v>
      </c>
      <c r="AX46" s="152">
        <f t="shared" si="80"/>
        <v>1.0000000000000001E-5</v>
      </c>
      <c r="AY46" s="144">
        <f t="shared" ref="AY46" si="88">(AU46-AX46)*AT46</f>
        <v>0</v>
      </c>
      <c r="AZ46" s="144">
        <f t="shared" si="81"/>
        <v>174.35728231085017</v>
      </c>
      <c r="BA46" s="144">
        <f t="shared" si="82"/>
        <v>247.2761794186562</v>
      </c>
      <c r="BB46" s="153">
        <f t="shared" si="83"/>
        <v>72.918897107806032</v>
      </c>
      <c r="BC46" s="241">
        <v>0.3</v>
      </c>
      <c r="BD46" s="155">
        <f>0.66667*BC46*BE61</f>
        <v>6.0000299999999993E-2</v>
      </c>
    </row>
    <row r="47" spans="1:58" ht="14.25" x14ac:dyDescent="0.25">
      <c r="A47" s="137"/>
      <c r="B47" s="240"/>
      <c r="C47" s="244" t="s">
        <v>65</v>
      </c>
      <c r="D47" s="157" t="str">
        <f t="shared" si="86"/>
        <v>ja</v>
      </c>
      <c r="E47" s="158"/>
      <c r="F47" s="159">
        <v>0</v>
      </c>
      <c r="G47" s="160">
        <v>0</v>
      </c>
      <c r="H47" s="165">
        <f t="shared" si="60"/>
        <v>0</v>
      </c>
      <c r="I47" s="162">
        <v>0.6</v>
      </c>
      <c r="J47" s="165">
        <f t="shared" si="61"/>
        <v>82.577999999999989</v>
      </c>
      <c r="K47" s="164">
        <v>0.8</v>
      </c>
      <c r="L47" s="165">
        <f t="shared" si="62"/>
        <v>110.104</v>
      </c>
      <c r="M47" s="162">
        <v>0.4</v>
      </c>
      <c r="N47" s="165">
        <f t="shared" si="63"/>
        <v>19.454000000000004</v>
      </c>
      <c r="O47" s="164">
        <v>1.5</v>
      </c>
      <c r="P47" s="165">
        <f t="shared" si="64"/>
        <v>72.952500000000015</v>
      </c>
      <c r="Q47" s="162">
        <v>1</v>
      </c>
      <c r="R47" s="165">
        <f t="shared" si="65"/>
        <v>46.491568025135855</v>
      </c>
      <c r="S47" s="164">
        <v>1</v>
      </c>
      <c r="T47" s="165">
        <f t="shared" si="66"/>
        <v>46.491568025135855</v>
      </c>
      <c r="U47" s="162"/>
      <c r="V47" s="165">
        <f t="shared" si="67"/>
        <v>0</v>
      </c>
      <c r="W47" s="164"/>
      <c r="X47" s="165">
        <f t="shared" si="68"/>
        <v>0</v>
      </c>
      <c r="Y47" s="162">
        <v>0.3</v>
      </c>
      <c r="Z47" s="165">
        <f t="shared" si="69"/>
        <v>15.846142857142857</v>
      </c>
      <c r="AA47" s="164">
        <v>1</v>
      </c>
      <c r="AB47" s="165">
        <f t="shared" si="70"/>
        <v>52.820476190476192</v>
      </c>
      <c r="AC47" s="162"/>
      <c r="AD47" s="165">
        <f t="shared" si="71"/>
        <v>0</v>
      </c>
      <c r="AE47" s="164"/>
      <c r="AF47" s="165">
        <f t="shared" si="72"/>
        <v>0</v>
      </c>
      <c r="AG47" s="162"/>
      <c r="AH47" s="165">
        <f t="shared" si="73"/>
        <v>0</v>
      </c>
      <c r="AI47" s="164"/>
      <c r="AJ47" s="165">
        <f t="shared" si="74"/>
        <v>0</v>
      </c>
      <c r="AK47" s="162"/>
      <c r="AL47" s="165">
        <f t="shared" si="75"/>
        <v>0</v>
      </c>
      <c r="AM47" s="164"/>
      <c r="AN47" s="165">
        <f t="shared" si="76"/>
        <v>0</v>
      </c>
      <c r="AO47" s="162"/>
      <c r="AP47" s="165">
        <f t="shared" si="77"/>
        <v>0</v>
      </c>
      <c r="AQ47" s="164"/>
      <c r="AR47" s="165">
        <f t="shared" si="78"/>
        <v>0</v>
      </c>
      <c r="AS47" s="166">
        <v>0</v>
      </c>
      <c r="AT47" s="167">
        <f>AS47*0.9</f>
        <v>0</v>
      </c>
      <c r="AU47" s="168">
        <f>AU45</f>
        <v>1.0000000000000001E-5</v>
      </c>
      <c r="AV47" s="165">
        <f t="shared" si="79"/>
        <v>0</v>
      </c>
      <c r="AW47" s="169">
        <v>0</v>
      </c>
      <c r="AX47" s="170">
        <f t="shared" si="80"/>
        <v>1.0000000000000001E-5</v>
      </c>
      <c r="AY47" s="165">
        <f>(AU47-AX47)*AT47</f>
        <v>0</v>
      </c>
      <c r="AZ47" s="165">
        <f t="shared" si="81"/>
        <v>164.36971088227872</v>
      </c>
      <c r="BA47" s="165">
        <f t="shared" si="82"/>
        <v>232.67891921561207</v>
      </c>
      <c r="BB47" s="222">
        <f t="shared" si="83"/>
        <v>68.309208333333345</v>
      </c>
      <c r="BC47" s="243">
        <v>0.6</v>
      </c>
      <c r="BD47" s="172">
        <f>0.7*BC47*BE63</f>
        <v>4.2000000000000003E-2</v>
      </c>
    </row>
    <row r="48" spans="1:58" ht="14.25" x14ac:dyDescent="0.25">
      <c r="A48" s="137"/>
      <c r="B48" s="240"/>
      <c r="C48" s="245"/>
      <c r="D48" s="140" t="str">
        <f t="shared" si="86"/>
        <v>nein</v>
      </c>
      <c r="E48" s="141"/>
      <c r="F48" s="142">
        <v>0</v>
      </c>
      <c r="G48" s="143">
        <v>0</v>
      </c>
      <c r="H48" s="144">
        <f t="shared" si="60"/>
        <v>0</v>
      </c>
      <c r="I48" s="145"/>
      <c r="J48" s="144">
        <f t="shared" si="61"/>
        <v>0</v>
      </c>
      <c r="K48" s="147"/>
      <c r="L48" s="144">
        <f t="shared" si="62"/>
        <v>0</v>
      </c>
      <c r="M48" s="145">
        <v>1</v>
      </c>
      <c r="N48" s="144">
        <f t="shared" si="63"/>
        <v>48.635000000000005</v>
      </c>
      <c r="O48" s="147">
        <v>2.5</v>
      </c>
      <c r="P48" s="144">
        <f t="shared" si="64"/>
        <v>121.58750000000001</v>
      </c>
      <c r="Q48" s="145">
        <v>1</v>
      </c>
      <c r="R48" s="144">
        <f t="shared" si="65"/>
        <v>46.491568025135855</v>
      </c>
      <c r="S48" s="147">
        <v>1.5</v>
      </c>
      <c r="T48" s="144">
        <f t="shared" si="66"/>
        <v>69.737352037703786</v>
      </c>
      <c r="U48" s="145"/>
      <c r="V48" s="144">
        <f t="shared" si="67"/>
        <v>0</v>
      </c>
      <c r="W48" s="147"/>
      <c r="X48" s="144">
        <f t="shared" si="68"/>
        <v>0</v>
      </c>
      <c r="Y48" s="145">
        <v>0.5</v>
      </c>
      <c r="Z48" s="144">
        <f t="shared" si="69"/>
        <v>26.410238095238096</v>
      </c>
      <c r="AA48" s="147">
        <v>1</v>
      </c>
      <c r="AB48" s="144">
        <f t="shared" si="70"/>
        <v>52.820476190476192</v>
      </c>
      <c r="AC48" s="145"/>
      <c r="AD48" s="144">
        <f t="shared" si="71"/>
        <v>0</v>
      </c>
      <c r="AE48" s="147"/>
      <c r="AF48" s="144">
        <f t="shared" si="72"/>
        <v>0</v>
      </c>
      <c r="AG48" s="145"/>
      <c r="AH48" s="144">
        <f t="shared" si="73"/>
        <v>0</v>
      </c>
      <c r="AI48" s="147"/>
      <c r="AJ48" s="144">
        <f t="shared" si="74"/>
        <v>0</v>
      </c>
      <c r="AK48" s="145"/>
      <c r="AL48" s="144">
        <f t="shared" si="75"/>
        <v>0</v>
      </c>
      <c r="AM48" s="147"/>
      <c r="AN48" s="144">
        <f t="shared" si="76"/>
        <v>0</v>
      </c>
      <c r="AO48" s="145"/>
      <c r="AP48" s="144">
        <f t="shared" si="77"/>
        <v>0</v>
      </c>
      <c r="AQ48" s="147"/>
      <c r="AR48" s="144">
        <f t="shared" si="78"/>
        <v>0</v>
      </c>
      <c r="AS48" s="148">
        <f>AS47</f>
        <v>0</v>
      </c>
      <c r="AT48" s="149">
        <f t="shared" ref="AT48" si="89">AS48*0.9</f>
        <v>0</v>
      </c>
      <c r="AU48" s="150">
        <f>AU47</f>
        <v>1.0000000000000001E-5</v>
      </c>
      <c r="AV48" s="144">
        <f t="shared" si="79"/>
        <v>0</v>
      </c>
      <c r="AW48" s="151">
        <f>AW47</f>
        <v>0</v>
      </c>
      <c r="AX48" s="152">
        <f t="shared" si="80"/>
        <v>1.0000000000000001E-5</v>
      </c>
      <c r="AY48" s="144">
        <f t="shared" ref="AY48" si="90">(AU48-AX48)*AT48</f>
        <v>0</v>
      </c>
      <c r="AZ48" s="144">
        <f t="shared" si="81"/>
        <v>121.53680612037397</v>
      </c>
      <c r="BA48" s="144">
        <f t="shared" si="82"/>
        <v>194.45570322818</v>
      </c>
      <c r="BB48" s="153">
        <f t="shared" si="83"/>
        <v>72.918897107806032</v>
      </c>
      <c r="BC48" s="241">
        <v>0.4</v>
      </c>
      <c r="BD48" s="155">
        <f>0.7*BC48*BE63</f>
        <v>2.7999999999999997E-2</v>
      </c>
    </row>
    <row r="49" spans="1:58" s="248" customFormat="1" ht="15" x14ac:dyDescent="0.25">
      <c r="A49" s="137"/>
      <c r="B49" s="240"/>
      <c r="C49" s="246" t="s">
        <v>66</v>
      </c>
      <c r="D49" s="157" t="str">
        <f t="shared" si="86"/>
        <v>ja</v>
      </c>
      <c r="E49" s="158"/>
      <c r="F49" s="159">
        <v>0</v>
      </c>
      <c r="G49" s="160">
        <v>0</v>
      </c>
      <c r="H49" s="165">
        <f t="shared" si="60"/>
        <v>0</v>
      </c>
      <c r="I49" s="162">
        <v>0.6</v>
      </c>
      <c r="J49" s="165">
        <f t="shared" si="61"/>
        <v>82.577999999999989</v>
      </c>
      <c r="K49" s="164">
        <v>0.8</v>
      </c>
      <c r="L49" s="165">
        <f t="shared" si="62"/>
        <v>110.104</v>
      </c>
      <c r="M49" s="162">
        <v>0.4</v>
      </c>
      <c r="N49" s="165">
        <f t="shared" si="63"/>
        <v>19.454000000000004</v>
      </c>
      <c r="O49" s="164">
        <v>1.5</v>
      </c>
      <c r="P49" s="165">
        <f t="shared" si="64"/>
        <v>72.952500000000015</v>
      </c>
      <c r="Q49" s="162">
        <v>1</v>
      </c>
      <c r="R49" s="165">
        <f t="shared" si="65"/>
        <v>46.491568025135855</v>
      </c>
      <c r="S49" s="164">
        <v>1</v>
      </c>
      <c r="T49" s="165">
        <f t="shared" si="66"/>
        <v>46.491568025135855</v>
      </c>
      <c r="U49" s="162"/>
      <c r="V49" s="165">
        <f t="shared" si="67"/>
        <v>0</v>
      </c>
      <c r="W49" s="164"/>
      <c r="X49" s="165">
        <f t="shared" si="68"/>
        <v>0</v>
      </c>
      <c r="Y49" s="162">
        <v>0.3</v>
      </c>
      <c r="Z49" s="165">
        <f t="shared" si="69"/>
        <v>15.846142857142857</v>
      </c>
      <c r="AA49" s="164">
        <v>1</v>
      </c>
      <c r="AB49" s="165">
        <f t="shared" si="70"/>
        <v>52.820476190476192</v>
      </c>
      <c r="AC49" s="162"/>
      <c r="AD49" s="165">
        <f t="shared" si="71"/>
        <v>0</v>
      </c>
      <c r="AE49" s="164"/>
      <c r="AF49" s="165">
        <f t="shared" si="72"/>
        <v>0</v>
      </c>
      <c r="AG49" s="162"/>
      <c r="AH49" s="165">
        <f t="shared" si="73"/>
        <v>0</v>
      </c>
      <c r="AI49" s="164"/>
      <c r="AJ49" s="165">
        <f t="shared" si="74"/>
        <v>0</v>
      </c>
      <c r="AK49" s="162"/>
      <c r="AL49" s="165">
        <f t="shared" si="75"/>
        <v>0</v>
      </c>
      <c r="AM49" s="164"/>
      <c r="AN49" s="165">
        <f t="shared" si="76"/>
        <v>0</v>
      </c>
      <c r="AO49" s="162"/>
      <c r="AP49" s="165">
        <f t="shared" si="77"/>
        <v>0</v>
      </c>
      <c r="AQ49" s="164"/>
      <c r="AR49" s="165">
        <f t="shared" si="78"/>
        <v>0</v>
      </c>
      <c r="AS49" s="166">
        <v>0</v>
      </c>
      <c r="AT49" s="167">
        <f>AS49*0.9</f>
        <v>0</v>
      </c>
      <c r="AU49" s="168">
        <f>AU47</f>
        <v>1.0000000000000001E-5</v>
      </c>
      <c r="AV49" s="165">
        <f t="shared" si="79"/>
        <v>0</v>
      </c>
      <c r="AW49" s="169">
        <v>0</v>
      </c>
      <c r="AX49" s="170">
        <f t="shared" si="80"/>
        <v>1.0000000000000001E-5</v>
      </c>
      <c r="AY49" s="165">
        <f>(AU49-AX49)*AT49</f>
        <v>0</v>
      </c>
      <c r="AZ49" s="165">
        <f t="shared" si="81"/>
        <v>164.36971088227872</v>
      </c>
      <c r="BA49" s="165">
        <f t="shared" si="82"/>
        <v>232.67891921561207</v>
      </c>
      <c r="BB49" s="222">
        <f t="shared" si="83"/>
        <v>68.309208333333345</v>
      </c>
      <c r="BC49" s="243">
        <v>0.6</v>
      </c>
      <c r="BD49" s="172">
        <f>0.8*BC49*BE65</f>
        <v>0.14399999999999999</v>
      </c>
      <c r="BE49" s="247"/>
      <c r="BF49" s="247"/>
    </row>
    <row r="50" spans="1:58" s="248" customFormat="1" ht="15" x14ac:dyDescent="0.25">
      <c r="A50" s="137"/>
      <c r="B50" s="240"/>
      <c r="C50" s="249"/>
      <c r="D50" s="140" t="str">
        <f t="shared" si="86"/>
        <v>nein</v>
      </c>
      <c r="E50" s="141"/>
      <c r="F50" s="142">
        <v>0</v>
      </c>
      <c r="G50" s="143">
        <v>0</v>
      </c>
      <c r="H50" s="144">
        <f t="shared" si="60"/>
        <v>0</v>
      </c>
      <c r="I50" s="145"/>
      <c r="J50" s="144">
        <f t="shared" si="61"/>
        <v>0</v>
      </c>
      <c r="K50" s="147"/>
      <c r="L50" s="144">
        <f t="shared" si="62"/>
        <v>0</v>
      </c>
      <c r="M50" s="145">
        <v>1</v>
      </c>
      <c r="N50" s="144">
        <f t="shared" si="63"/>
        <v>48.635000000000005</v>
      </c>
      <c r="O50" s="147">
        <v>2.5</v>
      </c>
      <c r="P50" s="144">
        <f t="shared" si="64"/>
        <v>121.58750000000001</v>
      </c>
      <c r="Q50" s="145">
        <v>1</v>
      </c>
      <c r="R50" s="144">
        <f t="shared" si="65"/>
        <v>46.491568025135855</v>
      </c>
      <c r="S50" s="147">
        <v>1.5</v>
      </c>
      <c r="T50" s="144">
        <f t="shared" si="66"/>
        <v>69.737352037703786</v>
      </c>
      <c r="U50" s="145"/>
      <c r="V50" s="144">
        <f t="shared" si="67"/>
        <v>0</v>
      </c>
      <c r="W50" s="147"/>
      <c r="X50" s="144">
        <f t="shared" si="68"/>
        <v>0</v>
      </c>
      <c r="Y50" s="145">
        <v>0.5</v>
      </c>
      <c r="Z50" s="144">
        <f t="shared" si="69"/>
        <v>26.410238095238096</v>
      </c>
      <c r="AA50" s="147">
        <v>1</v>
      </c>
      <c r="AB50" s="144">
        <f t="shared" si="70"/>
        <v>52.820476190476192</v>
      </c>
      <c r="AC50" s="145"/>
      <c r="AD50" s="144">
        <f t="shared" si="71"/>
        <v>0</v>
      </c>
      <c r="AE50" s="147"/>
      <c r="AF50" s="144">
        <f t="shared" si="72"/>
        <v>0</v>
      </c>
      <c r="AG50" s="145"/>
      <c r="AH50" s="144">
        <f t="shared" si="73"/>
        <v>0</v>
      </c>
      <c r="AI50" s="147"/>
      <c r="AJ50" s="144">
        <f t="shared" si="74"/>
        <v>0</v>
      </c>
      <c r="AK50" s="145"/>
      <c r="AL50" s="144">
        <f t="shared" si="75"/>
        <v>0</v>
      </c>
      <c r="AM50" s="147"/>
      <c r="AN50" s="144">
        <f t="shared" si="76"/>
        <v>0</v>
      </c>
      <c r="AO50" s="145"/>
      <c r="AP50" s="144">
        <f t="shared" si="77"/>
        <v>0</v>
      </c>
      <c r="AQ50" s="147"/>
      <c r="AR50" s="144">
        <f t="shared" si="78"/>
        <v>0</v>
      </c>
      <c r="AS50" s="148">
        <f>AS49</f>
        <v>0</v>
      </c>
      <c r="AT50" s="149">
        <f t="shared" ref="AT50" si="91">AS50*0.9</f>
        <v>0</v>
      </c>
      <c r="AU50" s="150">
        <f>AU49</f>
        <v>1.0000000000000001E-5</v>
      </c>
      <c r="AV50" s="144">
        <f t="shared" si="79"/>
        <v>0</v>
      </c>
      <c r="AW50" s="151">
        <f>AW49</f>
        <v>0</v>
      </c>
      <c r="AX50" s="152">
        <f t="shared" si="80"/>
        <v>1.0000000000000001E-5</v>
      </c>
      <c r="AY50" s="144">
        <f t="shared" ref="AY50" si="92">(AU50-AX50)*AT50</f>
        <v>0</v>
      </c>
      <c r="AZ50" s="144">
        <f t="shared" si="81"/>
        <v>121.53680612037397</v>
      </c>
      <c r="BA50" s="144">
        <f t="shared" si="82"/>
        <v>194.45570322818</v>
      </c>
      <c r="BB50" s="153">
        <f t="shared" si="83"/>
        <v>72.918897107806032</v>
      </c>
      <c r="BC50" s="241">
        <v>0.4</v>
      </c>
      <c r="BD50" s="155">
        <f>0.8*BC50*BE65</f>
        <v>9.6000000000000016E-2</v>
      </c>
      <c r="BE50" s="247"/>
      <c r="BF50" s="247"/>
    </row>
    <row r="51" spans="1:58" ht="14.25" x14ac:dyDescent="0.25">
      <c r="A51" s="137"/>
      <c r="B51" s="240"/>
      <c r="C51" s="250" t="s">
        <v>67</v>
      </c>
      <c r="D51" s="157" t="str">
        <f t="shared" si="86"/>
        <v>ja</v>
      </c>
      <c r="E51" s="158"/>
      <c r="F51" s="159">
        <v>0</v>
      </c>
      <c r="G51" s="160">
        <v>0</v>
      </c>
      <c r="H51" s="165">
        <f t="shared" si="60"/>
        <v>0</v>
      </c>
      <c r="I51" s="162">
        <v>0.3</v>
      </c>
      <c r="J51" s="165">
        <f t="shared" si="61"/>
        <v>41.288999999999994</v>
      </c>
      <c r="K51" s="164">
        <v>0.6</v>
      </c>
      <c r="L51" s="165">
        <f t="shared" si="62"/>
        <v>82.577999999999989</v>
      </c>
      <c r="M51" s="162">
        <v>0.7</v>
      </c>
      <c r="N51" s="165">
        <f t="shared" si="63"/>
        <v>34.044499999999999</v>
      </c>
      <c r="O51" s="164">
        <v>1.5</v>
      </c>
      <c r="P51" s="165">
        <f t="shared" si="64"/>
        <v>72.952500000000015</v>
      </c>
      <c r="Q51" s="162">
        <v>1</v>
      </c>
      <c r="R51" s="165">
        <f t="shared" si="65"/>
        <v>46.491568025135855</v>
      </c>
      <c r="S51" s="164">
        <v>1.5</v>
      </c>
      <c r="T51" s="165">
        <f t="shared" si="66"/>
        <v>69.737352037703786</v>
      </c>
      <c r="U51" s="162"/>
      <c r="V51" s="165">
        <f t="shared" si="67"/>
        <v>0</v>
      </c>
      <c r="W51" s="164">
        <v>1</v>
      </c>
      <c r="X51" s="165">
        <f t="shared" si="68"/>
        <v>16.315354141656663</v>
      </c>
      <c r="Y51" s="162">
        <v>0.3</v>
      </c>
      <c r="Z51" s="165">
        <f t="shared" si="69"/>
        <v>15.846142857142857</v>
      </c>
      <c r="AA51" s="164">
        <v>1</v>
      </c>
      <c r="AB51" s="165">
        <f t="shared" si="70"/>
        <v>52.820476190476192</v>
      </c>
      <c r="AC51" s="162"/>
      <c r="AD51" s="165">
        <f t="shared" si="71"/>
        <v>0</v>
      </c>
      <c r="AE51" s="164"/>
      <c r="AF51" s="165">
        <f t="shared" si="72"/>
        <v>0</v>
      </c>
      <c r="AG51" s="162"/>
      <c r="AH51" s="165">
        <f t="shared" si="73"/>
        <v>0</v>
      </c>
      <c r="AI51" s="164"/>
      <c r="AJ51" s="165">
        <f t="shared" si="74"/>
        <v>0</v>
      </c>
      <c r="AK51" s="162"/>
      <c r="AL51" s="165">
        <f t="shared" si="75"/>
        <v>0</v>
      </c>
      <c r="AM51" s="164"/>
      <c r="AN51" s="165">
        <f t="shared" si="76"/>
        <v>0</v>
      </c>
      <c r="AO51" s="162"/>
      <c r="AP51" s="165">
        <f t="shared" si="77"/>
        <v>0</v>
      </c>
      <c r="AQ51" s="164"/>
      <c r="AR51" s="165">
        <f t="shared" si="78"/>
        <v>0</v>
      </c>
      <c r="AS51" s="166">
        <v>0</v>
      </c>
      <c r="AT51" s="167">
        <f>AS51*0.9</f>
        <v>0</v>
      </c>
      <c r="AU51" s="168">
        <f>AU49</f>
        <v>1.0000000000000001E-5</v>
      </c>
      <c r="AV51" s="165">
        <f t="shared" si="79"/>
        <v>0</v>
      </c>
      <c r="AW51" s="169">
        <v>0</v>
      </c>
      <c r="AX51" s="170">
        <f t="shared" si="80"/>
        <v>1.0000000000000001E-5</v>
      </c>
      <c r="AY51" s="165">
        <f>(AU51-AX51)*AT51</f>
        <v>0</v>
      </c>
      <c r="AZ51" s="165">
        <f t="shared" si="81"/>
        <v>137.6712108822787</v>
      </c>
      <c r="BA51" s="165">
        <f t="shared" si="82"/>
        <v>244.71405736983664</v>
      </c>
      <c r="BB51" s="222">
        <f t="shared" si="83"/>
        <v>107.04284648755794</v>
      </c>
      <c r="BC51" s="243">
        <v>0.6</v>
      </c>
      <c r="BD51" s="172">
        <f>0.4*BC51*BE67</f>
        <v>0</v>
      </c>
    </row>
    <row r="52" spans="1:58" ht="14.25" x14ac:dyDescent="0.25">
      <c r="A52" s="137"/>
      <c r="B52" s="240"/>
      <c r="C52" s="251"/>
      <c r="D52" s="140" t="str">
        <f t="shared" si="86"/>
        <v>nein</v>
      </c>
      <c r="E52" s="141"/>
      <c r="F52" s="142">
        <v>0</v>
      </c>
      <c r="G52" s="143">
        <v>0</v>
      </c>
      <c r="H52" s="144">
        <f t="shared" si="60"/>
        <v>0</v>
      </c>
      <c r="I52" s="145"/>
      <c r="J52" s="144">
        <f t="shared" si="61"/>
        <v>0</v>
      </c>
      <c r="K52" s="147"/>
      <c r="L52" s="144">
        <f t="shared" si="62"/>
        <v>0</v>
      </c>
      <c r="M52" s="145">
        <v>1</v>
      </c>
      <c r="N52" s="144">
        <f t="shared" si="63"/>
        <v>48.635000000000005</v>
      </c>
      <c r="O52" s="147">
        <v>2.5</v>
      </c>
      <c r="P52" s="144">
        <f t="shared" si="64"/>
        <v>121.58750000000001</v>
      </c>
      <c r="Q52" s="145">
        <v>1</v>
      </c>
      <c r="R52" s="144">
        <f t="shared" si="65"/>
        <v>46.491568025135855</v>
      </c>
      <c r="S52" s="147">
        <v>1.5</v>
      </c>
      <c r="T52" s="144">
        <f t="shared" si="66"/>
        <v>69.737352037703786</v>
      </c>
      <c r="U52" s="145"/>
      <c r="V52" s="144">
        <f t="shared" si="67"/>
        <v>0</v>
      </c>
      <c r="W52" s="147">
        <v>1</v>
      </c>
      <c r="X52" s="144">
        <f t="shared" si="68"/>
        <v>16.315354141656663</v>
      </c>
      <c r="Y52" s="145">
        <v>0.5</v>
      </c>
      <c r="Z52" s="144">
        <f t="shared" si="69"/>
        <v>26.410238095238096</v>
      </c>
      <c r="AA52" s="147">
        <v>1</v>
      </c>
      <c r="AB52" s="144">
        <f t="shared" si="70"/>
        <v>52.820476190476192</v>
      </c>
      <c r="AC52" s="145"/>
      <c r="AD52" s="144">
        <f t="shared" si="71"/>
        <v>0</v>
      </c>
      <c r="AE52" s="147"/>
      <c r="AF52" s="144">
        <f t="shared" si="72"/>
        <v>0</v>
      </c>
      <c r="AG52" s="145"/>
      <c r="AH52" s="144">
        <f t="shared" si="73"/>
        <v>0</v>
      </c>
      <c r="AI52" s="147"/>
      <c r="AJ52" s="144">
        <f t="shared" si="74"/>
        <v>0</v>
      </c>
      <c r="AK52" s="145"/>
      <c r="AL52" s="144">
        <f t="shared" si="75"/>
        <v>0</v>
      </c>
      <c r="AM52" s="147"/>
      <c r="AN52" s="144">
        <f t="shared" si="76"/>
        <v>0</v>
      </c>
      <c r="AO52" s="145"/>
      <c r="AP52" s="144">
        <f t="shared" si="77"/>
        <v>0</v>
      </c>
      <c r="AQ52" s="147"/>
      <c r="AR52" s="144">
        <f t="shared" si="78"/>
        <v>0</v>
      </c>
      <c r="AS52" s="148">
        <f>AS51</f>
        <v>0</v>
      </c>
      <c r="AT52" s="149">
        <f t="shared" ref="AT52" si="93">AS52*0.9</f>
        <v>0</v>
      </c>
      <c r="AU52" s="150">
        <f>AU51</f>
        <v>1.0000000000000001E-5</v>
      </c>
      <c r="AV52" s="144">
        <f t="shared" si="79"/>
        <v>0</v>
      </c>
      <c r="AW52" s="151">
        <f>AW51</f>
        <v>0</v>
      </c>
      <c r="AX52" s="152">
        <f t="shared" si="80"/>
        <v>1.0000000000000001E-5</v>
      </c>
      <c r="AY52" s="144">
        <f t="shared" ref="AY52" si="94">(AU52-AX52)*AT52</f>
        <v>0</v>
      </c>
      <c r="AZ52" s="144">
        <f t="shared" si="81"/>
        <v>121.53680612037397</v>
      </c>
      <c r="BA52" s="144">
        <f t="shared" si="82"/>
        <v>210.77105736983665</v>
      </c>
      <c r="BB52" s="153">
        <f t="shared" si="83"/>
        <v>89.234251249462687</v>
      </c>
      <c r="BC52" s="241">
        <v>0.4</v>
      </c>
      <c r="BD52" s="155">
        <f>0.4*BC52*BE67</f>
        <v>0</v>
      </c>
    </row>
    <row r="53" spans="1:58" ht="14.25" x14ac:dyDescent="0.25">
      <c r="A53" s="137"/>
      <c r="B53" s="240"/>
      <c r="C53" s="250" t="s">
        <v>68</v>
      </c>
      <c r="D53" s="252" t="str">
        <f t="shared" si="86"/>
        <v>ja</v>
      </c>
      <c r="E53" s="253"/>
      <c r="F53" s="254">
        <v>0</v>
      </c>
      <c r="G53" s="255">
        <v>0</v>
      </c>
      <c r="H53" s="256">
        <f t="shared" si="60"/>
        <v>0</v>
      </c>
      <c r="I53" s="257">
        <v>0.5</v>
      </c>
      <c r="J53" s="256">
        <f t="shared" si="61"/>
        <v>68.814999999999998</v>
      </c>
      <c r="K53" s="258">
        <v>0.7</v>
      </c>
      <c r="L53" s="256">
        <f t="shared" si="62"/>
        <v>96.340999999999994</v>
      </c>
      <c r="M53" s="257">
        <v>0.5</v>
      </c>
      <c r="N53" s="256">
        <f t="shared" si="63"/>
        <v>24.317500000000003</v>
      </c>
      <c r="O53" s="258">
        <v>1</v>
      </c>
      <c r="P53" s="256">
        <f t="shared" si="64"/>
        <v>48.635000000000005</v>
      </c>
      <c r="Q53" s="257">
        <v>1</v>
      </c>
      <c r="R53" s="256">
        <f t="shared" si="65"/>
        <v>46.491568025135855</v>
      </c>
      <c r="S53" s="258">
        <v>1.5</v>
      </c>
      <c r="T53" s="256">
        <f t="shared" si="66"/>
        <v>69.737352037703786</v>
      </c>
      <c r="U53" s="257"/>
      <c r="V53" s="256">
        <f t="shared" si="67"/>
        <v>0</v>
      </c>
      <c r="W53" s="258"/>
      <c r="X53" s="256">
        <f t="shared" si="68"/>
        <v>0</v>
      </c>
      <c r="Y53" s="257">
        <v>0.3</v>
      </c>
      <c r="Z53" s="256">
        <f t="shared" si="69"/>
        <v>15.846142857142857</v>
      </c>
      <c r="AA53" s="258">
        <v>1</v>
      </c>
      <c r="AB53" s="256">
        <f t="shared" si="70"/>
        <v>52.820476190476192</v>
      </c>
      <c r="AC53" s="257"/>
      <c r="AD53" s="256">
        <f t="shared" si="71"/>
        <v>0</v>
      </c>
      <c r="AE53" s="258"/>
      <c r="AF53" s="256">
        <f t="shared" si="72"/>
        <v>0</v>
      </c>
      <c r="AG53" s="257"/>
      <c r="AH53" s="256">
        <f t="shared" si="73"/>
        <v>0</v>
      </c>
      <c r="AI53" s="258"/>
      <c r="AJ53" s="256">
        <f t="shared" si="74"/>
        <v>0</v>
      </c>
      <c r="AK53" s="257"/>
      <c r="AL53" s="256">
        <f t="shared" si="75"/>
        <v>0</v>
      </c>
      <c r="AM53" s="258"/>
      <c r="AN53" s="256">
        <f t="shared" si="76"/>
        <v>0</v>
      </c>
      <c r="AO53" s="257"/>
      <c r="AP53" s="256">
        <f t="shared" si="77"/>
        <v>0</v>
      </c>
      <c r="AQ53" s="258"/>
      <c r="AR53" s="256">
        <f t="shared" si="78"/>
        <v>0</v>
      </c>
      <c r="AS53" s="259">
        <v>0</v>
      </c>
      <c r="AT53" s="260">
        <f>AS53*0.9</f>
        <v>0</v>
      </c>
      <c r="AU53" s="261">
        <f>AU51</f>
        <v>1.0000000000000001E-5</v>
      </c>
      <c r="AV53" s="256">
        <f t="shared" si="79"/>
        <v>0</v>
      </c>
      <c r="AW53" s="262">
        <v>0</v>
      </c>
      <c r="AX53" s="263">
        <f t="shared" si="80"/>
        <v>1.0000000000000001E-5</v>
      </c>
      <c r="AY53" s="256">
        <f>(AU53-AX53)*AT53</f>
        <v>0</v>
      </c>
      <c r="AZ53" s="256">
        <f t="shared" si="81"/>
        <v>155.47021088227871</v>
      </c>
      <c r="BA53" s="256">
        <f t="shared" si="82"/>
        <v>217.84420322817996</v>
      </c>
      <c r="BB53" s="222">
        <f t="shared" si="83"/>
        <v>62.373992345901257</v>
      </c>
      <c r="BC53" s="264">
        <v>0.4</v>
      </c>
      <c r="BD53" s="265">
        <f>0.2*BC53*BE69</f>
        <v>8.0000000000000002E-3</v>
      </c>
    </row>
    <row r="54" spans="1:58" ht="15" thickBot="1" x14ac:dyDescent="0.3">
      <c r="A54" s="137"/>
      <c r="B54" s="240"/>
      <c r="C54" s="266"/>
      <c r="D54" s="140" t="str">
        <f t="shared" si="86"/>
        <v>nein</v>
      </c>
      <c r="E54" s="141"/>
      <c r="F54" s="142">
        <v>0</v>
      </c>
      <c r="G54" s="143">
        <v>0</v>
      </c>
      <c r="H54" s="144">
        <f t="shared" si="60"/>
        <v>0</v>
      </c>
      <c r="I54" s="145"/>
      <c r="J54" s="144">
        <f t="shared" si="61"/>
        <v>0</v>
      </c>
      <c r="K54" s="147"/>
      <c r="L54" s="144">
        <f t="shared" si="62"/>
        <v>0</v>
      </c>
      <c r="M54" s="145">
        <v>1</v>
      </c>
      <c r="N54" s="144">
        <f t="shared" si="63"/>
        <v>48.635000000000005</v>
      </c>
      <c r="O54" s="147">
        <v>2</v>
      </c>
      <c r="P54" s="144">
        <f t="shared" si="64"/>
        <v>97.27000000000001</v>
      </c>
      <c r="Q54" s="145">
        <v>1</v>
      </c>
      <c r="R54" s="144">
        <f t="shared" si="65"/>
        <v>46.491568025135855</v>
      </c>
      <c r="S54" s="147">
        <v>1.5</v>
      </c>
      <c r="T54" s="144">
        <f t="shared" si="66"/>
        <v>69.737352037703786</v>
      </c>
      <c r="U54" s="145"/>
      <c r="V54" s="144">
        <f t="shared" si="67"/>
        <v>0</v>
      </c>
      <c r="W54" s="147"/>
      <c r="X54" s="144">
        <f t="shared" si="68"/>
        <v>0</v>
      </c>
      <c r="Y54" s="145">
        <v>0.5</v>
      </c>
      <c r="Z54" s="144">
        <f t="shared" si="69"/>
        <v>26.410238095238096</v>
      </c>
      <c r="AA54" s="147">
        <v>1</v>
      </c>
      <c r="AB54" s="144">
        <f t="shared" si="70"/>
        <v>52.820476190476192</v>
      </c>
      <c r="AC54" s="145"/>
      <c r="AD54" s="144">
        <f t="shared" si="71"/>
        <v>0</v>
      </c>
      <c r="AE54" s="147"/>
      <c r="AF54" s="144">
        <f t="shared" si="72"/>
        <v>0</v>
      </c>
      <c r="AG54" s="145"/>
      <c r="AH54" s="144">
        <f t="shared" si="73"/>
        <v>0</v>
      </c>
      <c r="AI54" s="147"/>
      <c r="AJ54" s="144">
        <f t="shared" si="74"/>
        <v>0</v>
      </c>
      <c r="AK54" s="145"/>
      <c r="AL54" s="144">
        <f t="shared" si="75"/>
        <v>0</v>
      </c>
      <c r="AM54" s="147"/>
      <c r="AN54" s="144">
        <f t="shared" si="76"/>
        <v>0</v>
      </c>
      <c r="AO54" s="145"/>
      <c r="AP54" s="144">
        <f t="shared" si="77"/>
        <v>0</v>
      </c>
      <c r="AQ54" s="147"/>
      <c r="AR54" s="144">
        <f t="shared" si="78"/>
        <v>0</v>
      </c>
      <c r="AS54" s="148">
        <f>AS53</f>
        <v>0</v>
      </c>
      <c r="AT54" s="149">
        <f t="shared" ref="AT54" si="95">AS54*0.9</f>
        <v>0</v>
      </c>
      <c r="AU54" s="150">
        <f>AU53</f>
        <v>1.0000000000000001E-5</v>
      </c>
      <c r="AV54" s="144">
        <f t="shared" si="79"/>
        <v>0</v>
      </c>
      <c r="AW54" s="151">
        <f>AW53</f>
        <v>0</v>
      </c>
      <c r="AX54" s="152">
        <f t="shared" si="80"/>
        <v>1.0000000000000001E-5</v>
      </c>
      <c r="AY54" s="144">
        <f t="shared" ref="AY54" si="96">(AU54-AX54)*AT54</f>
        <v>0</v>
      </c>
      <c r="AZ54" s="144">
        <f t="shared" si="81"/>
        <v>121.53680612037397</v>
      </c>
      <c r="BA54" s="144">
        <f t="shared" si="82"/>
        <v>170.13820322818</v>
      </c>
      <c r="BB54" s="153">
        <f t="shared" si="83"/>
        <v>48.601397107806037</v>
      </c>
      <c r="BC54" s="241">
        <v>0.6</v>
      </c>
      <c r="BD54" s="155">
        <f>0.2*BC54*BE69</f>
        <v>1.1999999999999997E-2</v>
      </c>
    </row>
    <row r="55" spans="1:58" ht="14.25" x14ac:dyDescent="0.25">
      <c r="A55" s="137"/>
      <c r="B55" s="240"/>
      <c r="C55" s="267" t="s">
        <v>69</v>
      </c>
      <c r="D55" s="121" t="s">
        <v>62</v>
      </c>
      <c r="E55" s="194"/>
      <c r="F55" s="195"/>
      <c r="G55" s="196"/>
      <c r="H55" s="197"/>
      <c r="I55" s="198"/>
      <c r="J55" s="197"/>
      <c r="K55" s="199"/>
      <c r="L55" s="197"/>
      <c r="M55" s="198"/>
      <c r="N55" s="197"/>
      <c r="O55" s="199"/>
      <c r="P55" s="197"/>
      <c r="Q55" s="198"/>
      <c r="R55" s="197"/>
      <c r="S55" s="199"/>
      <c r="T55" s="197"/>
      <c r="U55" s="198"/>
      <c r="V55" s="197"/>
      <c r="W55" s="199"/>
      <c r="X55" s="197"/>
      <c r="Y55" s="198"/>
      <c r="Z55" s="197"/>
      <c r="AA55" s="199"/>
      <c r="AB55" s="197"/>
      <c r="AC55" s="198"/>
      <c r="AD55" s="197"/>
      <c r="AE55" s="199"/>
      <c r="AF55" s="197"/>
      <c r="AG55" s="198"/>
      <c r="AH55" s="197"/>
      <c r="AI55" s="199"/>
      <c r="AJ55" s="197"/>
      <c r="AK55" s="198"/>
      <c r="AL55" s="197"/>
      <c r="AM55" s="199"/>
      <c r="AN55" s="197"/>
      <c r="AO55" s="198"/>
      <c r="AP55" s="197"/>
      <c r="AQ55" s="199"/>
      <c r="AR55" s="197"/>
      <c r="AS55" s="200"/>
      <c r="AT55" s="200"/>
      <c r="AU55" s="201"/>
      <c r="AV55" s="197"/>
      <c r="AW55" s="201"/>
      <c r="AX55" s="201"/>
      <c r="AY55" s="197"/>
      <c r="AZ55" s="197"/>
      <c r="BA55" s="197"/>
      <c r="BB55" s="220">
        <f>(BB43*BD43+BB45*BD45+BB47*BD47+BB49*BD49+BB51*BD51+BB53*BD53)/(BD43+BD45+BD47+BD49+BD51+BD53)</f>
        <v>78.824740218336245</v>
      </c>
      <c r="BC55" s="203"/>
      <c r="BD55" s="136">
        <f>BD43+BD45+BD47+BD49+BD51+BD53</f>
        <v>0.40600006999999994</v>
      </c>
    </row>
    <row r="56" spans="1:58" ht="15" thickBot="1" x14ac:dyDescent="0.3">
      <c r="A56" s="137"/>
      <c r="B56" s="240"/>
      <c r="C56" s="266"/>
      <c r="D56" s="178" t="s">
        <v>64</v>
      </c>
      <c r="E56" s="204"/>
      <c r="F56" s="205"/>
      <c r="G56" s="206"/>
      <c r="H56" s="115"/>
      <c r="I56" s="207"/>
      <c r="J56" s="115"/>
      <c r="K56" s="208"/>
      <c r="L56" s="115"/>
      <c r="M56" s="207"/>
      <c r="N56" s="115"/>
      <c r="O56" s="208"/>
      <c r="P56" s="115"/>
      <c r="Q56" s="207"/>
      <c r="R56" s="115"/>
      <c r="S56" s="208"/>
      <c r="T56" s="115"/>
      <c r="U56" s="207"/>
      <c r="V56" s="115"/>
      <c r="W56" s="208"/>
      <c r="X56" s="115"/>
      <c r="Y56" s="207"/>
      <c r="Z56" s="115"/>
      <c r="AA56" s="208"/>
      <c r="AB56" s="115"/>
      <c r="AC56" s="207"/>
      <c r="AD56" s="115"/>
      <c r="AE56" s="208"/>
      <c r="AF56" s="115"/>
      <c r="AG56" s="207"/>
      <c r="AH56" s="115"/>
      <c r="AI56" s="208"/>
      <c r="AJ56" s="115"/>
      <c r="AK56" s="207"/>
      <c r="AL56" s="115"/>
      <c r="AM56" s="208"/>
      <c r="AN56" s="115"/>
      <c r="AO56" s="207"/>
      <c r="AP56" s="115"/>
      <c r="AQ56" s="208"/>
      <c r="AR56" s="115"/>
      <c r="AS56" s="209"/>
      <c r="AT56" s="209"/>
      <c r="AU56" s="210"/>
      <c r="AV56" s="115"/>
      <c r="AW56" s="210"/>
      <c r="AX56" s="210"/>
      <c r="AY56" s="115"/>
      <c r="AZ56" s="115"/>
      <c r="BA56" s="115"/>
      <c r="BB56" s="225">
        <f>(BB44*BD44+BB46*BD46+BB48*BD48+BB50*BD50+BB52*BD52+BB54*BD54)/(BD44+BD46+BD48+BD50+BD52+BD54)</f>
        <v>71.512126839914004</v>
      </c>
      <c r="BC56" s="211"/>
      <c r="BD56" s="192">
        <f>BD44+BD46+BD48+BD50+BD52+BD54</f>
        <v>0.2440003</v>
      </c>
    </row>
    <row r="57" spans="1:58" ht="15.75" thickBot="1" x14ac:dyDescent="0.3">
      <c r="A57" s="137"/>
      <c r="B57" s="268"/>
      <c r="C57" s="269"/>
      <c r="D57" s="214" t="s">
        <v>70</v>
      </c>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28">
        <f>(BB55*BD55+BB56*BD56)/(BD55+BD56)</f>
        <v>76.079695845332211</v>
      </c>
      <c r="BC57" s="217"/>
      <c r="BD57" s="218">
        <f>BD55+BD56</f>
        <v>0.65000036999999988</v>
      </c>
    </row>
    <row r="58" spans="1:58" s="239" customFormat="1" ht="14.25" x14ac:dyDescent="0.25">
      <c r="A58" s="137"/>
      <c r="B58" s="236" t="s">
        <v>64</v>
      </c>
      <c r="C58" s="270" t="s">
        <v>61</v>
      </c>
      <c r="D58" s="121" t="str">
        <f t="shared" ref="D58:D69" si="97">D43</f>
        <v>ja</v>
      </c>
      <c r="E58" s="122"/>
      <c r="F58" s="123">
        <v>0</v>
      </c>
      <c r="G58" s="124">
        <v>0</v>
      </c>
      <c r="H58" s="134">
        <f t="shared" ref="H58:H69" si="98">IF(F58=0,0,F58*G58+$G$8+$G$9)</f>
        <v>0</v>
      </c>
      <c r="I58" s="126">
        <v>0.1</v>
      </c>
      <c r="J58" s="134">
        <f t="shared" ref="J58:J69" si="99">I58*(I$13*$B$9+K$13)</f>
        <v>13.763</v>
      </c>
      <c r="K58" s="237">
        <v>0.1</v>
      </c>
      <c r="L58" s="134">
        <f t="shared" ref="L58:L69" si="100">K58*(I$13*$B$9+K$13)</f>
        <v>13.763</v>
      </c>
      <c r="M58" s="126">
        <v>0.9</v>
      </c>
      <c r="N58" s="134">
        <f t="shared" ref="N58:N69" si="101">M58*(M$13*$B$9+O$13)</f>
        <v>43.771500000000003</v>
      </c>
      <c r="O58" s="237">
        <v>1.3</v>
      </c>
      <c r="P58" s="134">
        <f t="shared" ref="P58:P69" si="102">O58*(M$13*$B$9+O$13)</f>
        <v>63.225500000000011</v>
      </c>
      <c r="Q58" s="126">
        <v>0.5</v>
      </c>
      <c r="R58" s="134">
        <f t="shared" ref="R58:R69" si="103">Q58*(Q$13*$B$9+S$13)</f>
        <v>23.245784012567928</v>
      </c>
      <c r="S58" s="237">
        <v>1</v>
      </c>
      <c r="T58" s="134">
        <f t="shared" ref="T58:T69" si="104">S58*(Q$13*$B$9+S$13)</f>
        <v>46.491568025135855</v>
      </c>
      <c r="U58" s="126"/>
      <c r="V58" s="134">
        <f t="shared" ref="V58:V69" si="105">U58*(U$13*$B$9+W$13)</f>
        <v>0</v>
      </c>
      <c r="W58" s="237"/>
      <c r="X58" s="134">
        <f t="shared" ref="X58:X69" si="106">W58*(U$13*$B$9+W$13)</f>
        <v>0</v>
      </c>
      <c r="Y58" s="126"/>
      <c r="Z58" s="134">
        <f t="shared" ref="Z58:Z69" si="107">Y58*(Y$13*$B$9+AA$13)</f>
        <v>0</v>
      </c>
      <c r="AA58" s="237"/>
      <c r="AB58" s="134">
        <f t="shared" ref="AB58:AB69" si="108">AA58*(Y$13*$B$9+AA$13)</f>
        <v>0</v>
      </c>
      <c r="AC58" s="126"/>
      <c r="AD58" s="134">
        <f t="shared" ref="AD58:AD69" si="109">AC58*(AC$13*$B$9+AE$13)</f>
        <v>0</v>
      </c>
      <c r="AE58" s="237"/>
      <c r="AF58" s="134">
        <f t="shared" ref="AF58:AF69" si="110">AE58*(AC$13*$B$9+AE$13)</f>
        <v>0</v>
      </c>
      <c r="AG58" s="126"/>
      <c r="AH58" s="134">
        <f t="shared" ref="AH58:AH69" si="111">AG58*(AG$13*$B$9+AI$13)</f>
        <v>0</v>
      </c>
      <c r="AI58" s="237"/>
      <c r="AJ58" s="134">
        <f t="shared" ref="AJ58:AJ69" si="112">AI58*(AG$13*$B$9+AI$13)</f>
        <v>0</v>
      </c>
      <c r="AK58" s="126"/>
      <c r="AL58" s="134">
        <f t="shared" ref="AL58:AL69" si="113">AK58*(AK$13*$B$9+AM$13)</f>
        <v>0</v>
      </c>
      <c r="AM58" s="237"/>
      <c r="AN58" s="134">
        <f t="shared" ref="AN58:AN69" si="114">AM58*(AK$13*$B$9+AM$13)</f>
        <v>0</v>
      </c>
      <c r="AO58" s="126"/>
      <c r="AP58" s="134">
        <f t="shared" ref="AP58:AP69" si="115">AO58*(AO$13*$B$9+AQ$13)</f>
        <v>0</v>
      </c>
      <c r="AQ58" s="237"/>
      <c r="AR58" s="134">
        <f t="shared" ref="AR58:AR69" si="116">AQ58*(AO$13*$B$9+AQ$13)</f>
        <v>0</v>
      </c>
      <c r="AS58" s="129">
        <v>0</v>
      </c>
      <c r="AT58" s="130">
        <f>AS58*0.9</f>
        <v>0</v>
      </c>
      <c r="AU58" s="131">
        <f>AU43</f>
        <v>1.0000000000000001E-5</v>
      </c>
      <c r="AV58" s="134">
        <f t="shared" ref="AV58:AV69" si="117">AU58*(AS58-AT58)</f>
        <v>0</v>
      </c>
      <c r="AW58" s="132">
        <v>0</v>
      </c>
      <c r="AX58" s="133">
        <f t="shared" ref="AX58:AX69" si="118">AU58-AW58</f>
        <v>1.0000000000000001E-5</v>
      </c>
      <c r="AY58" s="134">
        <f>(AU58-AX58)*AT58</f>
        <v>0</v>
      </c>
      <c r="AZ58" s="134">
        <f t="shared" ref="AZ58:AZ69" si="119">IF(SUM(AN58+AC58+Y58+U58+Q58+M58+I58)=0,0,J58+N58+R58+V58+Z58+AD58+AG58+AK58+AO58+AW58)</f>
        <v>80.780284012567932</v>
      </c>
      <c r="BA58" s="134">
        <f t="shared" ref="BA58:BA69" si="120">IF(SUM(AQ58+AE58+AA58+W58+S58+O58+K58)=0,0,H58+L58+P58+T58+X58+AB58+AF58+AJ58+AN58+AR58+AV58+AY58-$G$11)</f>
        <v>73.790443025135858</v>
      </c>
      <c r="BB58" s="134">
        <f t="shared" ref="BB58:BB69" si="121">IF(BA58-AZ58&gt;0,BA58-AZ58,0)</f>
        <v>0</v>
      </c>
      <c r="BC58" s="238">
        <v>0.6</v>
      </c>
      <c r="BD58" s="136">
        <f>0.4*BC58*BE59</f>
        <v>4.8000000000000001E-2</v>
      </c>
    </row>
    <row r="59" spans="1:58" s="239" customFormat="1" ht="14.25" x14ac:dyDescent="0.25">
      <c r="A59" s="137"/>
      <c r="B59" s="240"/>
      <c r="C59" s="270" t="s">
        <v>61</v>
      </c>
      <c r="D59" s="140" t="str">
        <f t="shared" si="97"/>
        <v>nein</v>
      </c>
      <c r="E59" s="141"/>
      <c r="F59" s="142">
        <v>0</v>
      </c>
      <c r="G59" s="143">
        <v>0</v>
      </c>
      <c r="H59" s="153">
        <f t="shared" si="98"/>
        <v>0</v>
      </c>
      <c r="I59" s="145">
        <v>0</v>
      </c>
      <c r="J59" s="153">
        <f t="shared" si="99"/>
        <v>0</v>
      </c>
      <c r="K59" s="147"/>
      <c r="L59" s="153">
        <f t="shared" si="100"/>
        <v>0</v>
      </c>
      <c r="M59" s="145">
        <v>1</v>
      </c>
      <c r="N59" s="153">
        <f t="shared" si="101"/>
        <v>48.635000000000005</v>
      </c>
      <c r="O59" s="147">
        <v>1.5</v>
      </c>
      <c r="P59" s="153">
        <f t="shared" si="102"/>
        <v>72.952500000000015</v>
      </c>
      <c r="Q59" s="145">
        <v>0.5</v>
      </c>
      <c r="R59" s="153">
        <f t="shared" si="103"/>
        <v>23.245784012567928</v>
      </c>
      <c r="S59" s="147">
        <v>1.5</v>
      </c>
      <c r="T59" s="153">
        <f t="shared" si="104"/>
        <v>69.737352037703786</v>
      </c>
      <c r="U59" s="145"/>
      <c r="V59" s="153">
        <f t="shared" si="105"/>
        <v>0</v>
      </c>
      <c r="W59" s="147"/>
      <c r="X59" s="153">
        <f t="shared" si="106"/>
        <v>0</v>
      </c>
      <c r="Y59" s="145"/>
      <c r="Z59" s="153">
        <f t="shared" si="107"/>
        <v>0</v>
      </c>
      <c r="AA59" s="147"/>
      <c r="AB59" s="153">
        <f t="shared" si="108"/>
        <v>0</v>
      </c>
      <c r="AC59" s="145"/>
      <c r="AD59" s="153">
        <f t="shared" si="109"/>
        <v>0</v>
      </c>
      <c r="AE59" s="147"/>
      <c r="AF59" s="153">
        <f t="shared" si="110"/>
        <v>0</v>
      </c>
      <c r="AG59" s="145"/>
      <c r="AH59" s="153">
        <f t="shared" si="111"/>
        <v>0</v>
      </c>
      <c r="AI59" s="147"/>
      <c r="AJ59" s="153">
        <f t="shared" si="112"/>
        <v>0</v>
      </c>
      <c r="AK59" s="145"/>
      <c r="AL59" s="153">
        <f t="shared" si="113"/>
        <v>0</v>
      </c>
      <c r="AM59" s="147"/>
      <c r="AN59" s="153">
        <f t="shared" si="114"/>
        <v>0</v>
      </c>
      <c r="AO59" s="145"/>
      <c r="AP59" s="153">
        <f t="shared" si="115"/>
        <v>0</v>
      </c>
      <c r="AQ59" s="147"/>
      <c r="AR59" s="153">
        <f t="shared" si="116"/>
        <v>0</v>
      </c>
      <c r="AS59" s="148">
        <f>AS58</f>
        <v>0</v>
      </c>
      <c r="AT59" s="149">
        <f t="shared" ref="AT59" si="122">AS59*0.9</f>
        <v>0</v>
      </c>
      <c r="AU59" s="150">
        <f>AU58</f>
        <v>1.0000000000000001E-5</v>
      </c>
      <c r="AV59" s="153">
        <f t="shared" si="117"/>
        <v>0</v>
      </c>
      <c r="AW59" s="151">
        <f>AW58</f>
        <v>0</v>
      </c>
      <c r="AX59" s="152">
        <f t="shared" si="118"/>
        <v>1.0000000000000001E-5</v>
      </c>
      <c r="AY59" s="153">
        <f t="shared" ref="AY59" si="123">(AU59-AX59)*AT59</f>
        <v>0</v>
      </c>
      <c r="AZ59" s="153">
        <f t="shared" si="119"/>
        <v>71.880784012567929</v>
      </c>
      <c r="BA59" s="153">
        <f t="shared" si="120"/>
        <v>93.000227037703809</v>
      </c>
      <c r="BB59" s="153">
        <f t="shared" si="121"/>
        <v>21.11944302513588</v>
      </c>
      <c r="BC59" s="241">
        <v>0.4</v>
      </c>
      <c r="BD59" s="155">
        <f>BE59-BD58-BD44-BD43</f>
        <v>3.2000000000000028E-2</v>
      </c>
      <c r="BE59" s="221">
        <v>0.2</v>
      </c>
    </row>
    <row r="60" spans="1:58" ht="14.25" x14ac:dyDescent="0.25">
      <c r="A60" s="137"/>
      <c r="B60" s="240"/>
      <c r="C60" s="271" t="s">
        <v>63</v>
      </c>
      <c r="D60" s="157" t="str">
        <f t="shared" si="97"/>
        <v>ja</v>
      </c>
      <c r="E60" s="158"/>
      <c r="F60" s="159">
        <v>0</v>
      </c>
      <c r="G60" s="160">
        <v>0</v>
      </c>
      <c r="H60" s="165">
        <f t="shared" si="98"/>
        <v>0</v>
      </c>
      <c r="I60" s="162">
        <v>0.5</v>
      </c>
      <c r="J60" s="165">
        <f t="shared" si="99"/>
        <v>68.814999999999998</v>
      </c>
      <c r="K60" s="164">
        <v>0.8</v>
      </c>
      <c r="L60" s="165">
        <f t="shared" si="100"/>
        <v>110.104</v>
      </c>
      <c r="M60" s="162">
        <v>0.5</v>
      </c>
      <c r="N60" s="165">
        <f t="shared" si="101"/>
        <v>24.317500000000003</v>
      </c>
      <c r="O60" s="164">
        <v>1.5</v>
      </c>
      <c r="P60" s="165">
        <f t="shared" si="102"/>
        <v>72.952500000000015</v>
      </c>
      <c r="Q60" s="162">
        <v>1</v>
      </c>
      <c r="R60" s="165">
        <f t="shared" si="103"/>
        <v>46.491568025135855</v>
      </c>
      <c r="S60" s="164">
        <v>1.5</v>
      </c>
      <c r="T60" s="165">
        <f t="shared" si="104"/>
        <v>69.737352037703786</v>
      </c>
      <c r="U60" s="162"/>
      <c r="V60" s="165">
        <f t="shared" si="105"/>
        <v>0</v>
      </c>
      <c r="W60" s="164"/>
      <c r="X60" s="165">
        <f t="shared" si="106"/>
        <v>0</v>
      </c>
      <c r="Y60" s="162">
        <v>1</v>
      </c>
      <c r="Z60" s="165">
        <f t="shared" si="107"/>
        <v>52.820476190476192</v>
      </c>
      <c r="AA60" s="164">
        <v>2</v>
      </c>
      <c r="AB60" s="165">
        <f t="shared" si="108"/>
        <v>105.64095238095238</v>
      </c>
      <c r="AC60" s="162"/>
      <c r="AD60" s="165">
        <f t="shared" si="109"/>
        <v>0</v>
      </c>
      <c r="AE60" s="164"/>
      <c r="AF60" s="165">
        <f t="shared" si="110"/>
        <v>0</v>
      </c>
      <c r="AG60" s="162"/>
      <c r="AH60" s="165">
        <f t="shared" si="111"/>
        <v>0</v>
      </c>
      <c r="AI60" s="164"/>
      <c r="AJ60" s="165">
        <f t="shared" si="112"/>
        <v>0</v>
      </c>
      <c r="AK60" s="162"/>
      <c r="AL60" s="165">
        <f t="shared" si="113"/>
        <v>0</v>
      </c>
      <c r="AM60" s="164"/>
      <c r="AN60" s="165">
        <f t="shared" si="114"/>
        <v>0</v>
      </c>
      <c r="AO60" s="162"/>
      <c r="AP60" s="165">
        <f t="shared" si="115"/>
        <v>0</v>
      </c>
      <c r="AQ60" s="164"/>
      <c r="AR60" s="165">
        <f t="shared" si="116"/>
        <v>0</v>
      </c>
      <c r="AS60" s="166">
        <v>0</v>
      </c>
      <c r="AT60" s="167">
        <f>AS60*0.9</f>
        <v>0</v>
      </c>
      <c r="AU60" s="168">
        <f>AU45</f>
        <v>1.0000000000000001E-5</v>
      </c>
      <c r="AV60" s="165">
        <f t="shared" si="117"/>
        <v>0</v>
      </c>
      <c r="AW60" s="169">
        <v>0</v>
      </c>
      <c r="AX60" s="170">
        <f t="shared" si="118"/>
        <v>1.0000000000000001E-5</v>
      </c>
      <c r="AY60" s="165">
        <f>(AU60-AX60)*AT60</f>
        <v>0</v>
      </c>
      <c r="AZ60" s="165">
        <f t="shared" si="119"/>
        <v>192.44454421561204</v>
      </c>
      <c r="BA60" s="165">
        <f t="shared" si="120"/>
        <v>308.74517941865622</v>
      </c>
      <c r="BB60" s="222">
        <f t="shared" si="121"/>
        <v>116.30063520304418</v>
      </c>
      <c r="BC60" s="243">
        <v>0.7</v>
      </c>
      <c r="BD60" s="172">
        <f>0.333333*BC60*BE61</f>
        <v>6.9999929999999988E-2</v>
      </c>
    </row>
    <row r="61" spans="1:58" ht="14.25" x14ac:dyDescent="0.25">
      <c r="A61" s="137"/>
      <c r="B61" s="240"/>
      <c r="C61" s="272" t="s">
        <v>63</v>
      </c>
      <c r="D61" s="140" t="str">
        <f t="shared" si="97"/>
        <v>nein</v>
      </c>
      <c r="E61" s="141"/>
      <c r="F61" s="142">
        <v>0</v>
      </c>
      <c r="G61" s="143">
        <v>0</v>
      </c>
      <c r="H61" s="144">
        <f t="shared" si="98"/>
        <v>0</v>
      </c>
      <c r="I61" s="145"/>
      <c r="J61" s="144">
        <f t="shared" si="99"/>
        <v>0</v>
      </c>
      <c r="K61" s="147"/>
      <c r="L61" s="144">
        <f t="shared" si="100"/>
        <v>0</v>
      </c>
      <c r="M61" s="145">
        <v>1</v>
      </c>
      <c r="N61" s="144">
        <f t="shared" si="101"/>
        <v>48.635000000000005</v>
      </c>
      <c r="O61" s="147">
        <v>2</v>
      </c>
      <c r="P61" s="144">
        <f t="shared" si="102"/>
        <v>97.27000000000001</v>
      </c>
      <c r="Q61" s="145">
        <v>1</v>
      </c>
      <c r="R61" s="144">
        <f t="shared" si="103"/>
        <v>46.491568025135855</v>
      </c>
      <c r="S61" s="147">
        <v>1.5</v>
      </c>
      <c r="T61" s="144">
        <f t="shared" si="104"/>
        <v>69.737352037703786</v>
      </c>
      <c r="U61" s="145"/>
      <c r="V61" s="144">
        <f t="shared" si="105"/>
        <v>0</v>
      </c>
      <c r="W61" s="147"/>
      <c r="X61" s="144">
        <f t="shared" si="106"/>
        <v>0</v>
      </c>
      <c r="Y61" s="145">
        <v>1</v>
      </c>
      <c r="Z61" s="144">
        <f t="shared" si="107"/>
        <v>52.820476190476192</v>
      </c>
      <c r="AA61" s="147">
        <v>1</v>
      </c>
      <c r="AB61" s="144">
        <f t="shared" si="108"/>
        <v>52.820476190476192</v>
      </c>
      <c r="AC61" s="145"/>
      <c r="AD61" s="144">
        <f t="shared" si="109"/>
        <v>0</v>
      </c>
      <c r="AE61" s="147"/>
      <c r="AF61" s="144">
        <f t="shared" si="110"/>
        <v>0</v>
      </c>
      <c r="AG61" s="145"/>
      <c r="AH61" s="144">
        <f t="shared" si="111"/>
        <v>0</v>
      </c>
      <c r="AI61" s="147"/>
      <c r="AJ61" s="144">
        <f t="shared" si="112"/>
        <v>0</v>
      </c>
      <c r="AK61" s="145"/>
      <c r="AL61" s="144">
        <f t="shared" si="113"/>
        <v>0</v>
      </c>
      <c r="AM61" s="147"/>
      <c r="AN61" s="144">
        <f t="shared" si="114"/>
        <v>0</v>
      </c>
      <c r="AO61" s="145"/>
      <c r="AP61" s="144">
        <f t="shared" si="115"/>
        <v>0</v>
      </c>
      <c r="AQ61" s="147"/>
      <c r="AR61" s="144">
        <f t="shared" si="116"/>
        <v>0</v>
      </c>
      <c r="AS61" s="148">
        <f>AS60</f>
        <v>0</v>
      </c>
      <c r="AT61" s="149">
        <f t="shared" ref="AT61" si="124">AS61*0.9</f>
        <v>0</v>
      </c>
      <c r="AU61" s="150">
        <f>AU60</f>
        <v>1.0000000000000001E-5</v>
      </c>
      <c r="AV61" s="144">
        <f t="shared" si="117"/>
        <v>0</v>
      </c>
      <c r="AW61" s="151">
        <f>AW60</f>
        <v>0</v>
      </c>
      <c r="AX61" s="152">
        <f t="shared" si="118"/>
        <v>1.0000000000000001E-5</v>
      </c>
      <c r="AY61" s="144">
        <f t="shared" ref="AY61" si="125">(AU61-AX61)*AT61</f>
        <v>0</v>
      </c>
      <c r="AZ61" s="144">
        <f t="shared" si="119"/>
        <v>147.94704421561207</v>
      </c>
      <c r="BA61" s="144">
        <f t="shared" si="120"/>
        <v>170.13820322818</v>
      </c>
      <c r="BB61" s="153">
        <f t="shared" si="121"/>
        <v>22.191159012567937</v>
      </c>
      <c r="BC61" s="241">
        <v>0.3</v>
      </c>
      <c r="BD61" s="155">
        <f>BE61-BD60-BD46-BD45</f>
        <v>2.999969999999999E-2</v>
      </c>
      <c r="BE61" s="221">
        <v>0.3</v>
      </c>
    </row>
    <row r="62" spans="1:58" ht="14.25" x14ac:dyDescent="0.25">
      <c r="A62" s="137"/>
      <c r="B62" s="240"/>
      <c r="C62" s="244" t="s">
        <v>65</v>
      </c>
      <c r="D62" s="157" t="str">
        <f t="shared" si="97"/>
        <v>ja</v>
      </c>
      <c r="E62" s="158"/>
      <c r="F62" s="159">
        <v>0</v>
      </c>
      <c r="G62" s="160">
        <v>0</v>
      </c>
      <c r="H62" s="165">
        <f t="shared" si="98"/>
        <v>0</v>
      </c>
      <c r="I62" s="162">
        <v>0.5</v>
      </c>
      <c r="J62" s="165">
        <f t="shared" si="99"/>
        <v>68.814999999999998</v>
      </c>
      <c r="K62" s="164">
        <v>0.7</v>
      </c>
      <c r="L62" s="165">
        <f t="shared" si="100"/>
        <v>96.340999999999994</v>
      </c>
      <c r="M62" s="162">
        <v>0.5</v>
      </c>
      <c r="N62" s="165">
        <f t="shared" si="101"/>
        <v>24.317500000000003</v>
      </c>
      <c r="O62" s="164">
        <v>1</v>
      </c>
      <c r="P62" s="165">
        <f t="shared" si="102"/>
        <v>48.635000000000005</v>
      </c>
      <c r="Q62" s="162">
        <v>1</v>
      </c>
      <c r="R62" s="165">
        <f t="shared" si="103"/>
        <v>46.491568025135855</v>
      </c>
      <c r="S62" s="164">
        <v>1.5</v>
      </c>
      <c r="T62" s="165">
        <f t="shared" si="104"/>
        <v>69.737352037703786</v>
      </c>
      <c r="U62" s="162"/>
      <c r="V62" s="165">
        <f t="shared" si="105"/>
        <v>0</v>
      </c>
      <c r="W62" s="164"/>
      <c r="X62" s="165">
        <f t="shared" si="106"/>
        <v>0</v>
      </c>
      <c r="Y62" s="162"/>
      <c r="Z62" s="165">
        <f t="shared" si="107"/>
        <v>0</v>
      </c>
      <c r="AA62" s="164"/>
      <c r="AB62" s="165">
        <f t="shared" si="108"/>
        <v>0</v>
      </c>
      <c r="AC62" s="162"/>
      <c r="AD62" s="165">
        <f t="shared" si="109"/>
        <v>0</v>
      </c>
      <c r="AE62" s="164"/>
      <c r="AF62" s="165">
        <f t="shared" si="110"/>
        <v>0</v>
      </c>
      <c r="AG62" s="162"/>
      <c r="AH62" s="165">
        <f t="shared" si="111"/>
        <v>0</v>
      </c>
      <c r="AI62" s="164"/>
      <c r="AJ62" s="165">
        <f t="shared" si="112"/>
        <v>0</v>
      </c>
      <c r="AK62" s="162"/>
      <c r="AL62" s="165">
        <f t="shared" si="113"/>
        <v>0</v>
      </c>
      <c r="AM62" s="164"/>
      <c r="AN62" s="165">
        <f t="shared" si="114"/>
        <v>0</v>
      </c>
      <c r="AO62" s="162"/>
      <c r="AP62" s="165">
        <f t="shared" si="115"/>
        <v>0</v>
      </c>
      <c r="AQ62" s="164"/>
      <c r="AR62" s="165">
        <f t="shared" si="116"/>
        <v>0</v>
      </c>
      <c r="AS62" s="166">
        <v>0</v>
      </c>
      <c r="AT62" s="167">
        <f>AS62*0.9</f>
        <v>0</v>
      </c>
      <c r="AU62" s="168">
        <f>AU47</f>
        <v>1.0000000000000001E-5</v>
      </c>
      <c r="AV62" s="165">
        <f t="shared" si="117"/>
        <v>0</v>
      </c>
      <c r="AW62" s="169">
        <v>0</v>
      </c>
      <c r="AX62" s="170">
        <f t="shared" si="118"/>
        <v>1.0000000000000001E-5</v>
      </c>
      <c r="AY62" s="165">
        <f>(AU62-AX62)*AT62</f>
        <v>0</v>
      </c>
      <c r="AZ62" s="165">
        <f t="shared" si="119"/>
        <v>139.62406802513584</v>
      </c>
      <c r="BA62" s="165">
        <f t="shared" si="120"/>
        <v>165.02372703770376</v>
      </c>
      <c r="BB62" s="222">
        <f t="shared" si="121"/>
        <v>25.399659012567923</v>
      </c>
      <c r="BC62" s="243">
        <v>0.6</v>
      </c>
      <c r="BD62" s="172">
        <f>0.3*BC62*BE63</f>
        <v>1.7999999999999999E-2</v>
      </c>
    </row>
    <row r="63" spans="1:58" ht="14.25" x14ac:dyDescent="0.25">
      <c r="A63" s="137"/>
      <c r="B63" s="240"/>
      <c r="C63" s="245"/>
      <c r="D63" s="140" t="str">
        <f t="shared" si="97"/>
        <v>nein</v>
      </c>
      <c r="E63" s="141"/>
      <c r="F63" s="142">
        <v>0</v>
      </c>
      <c r="G63" s="143">
        <v>0</v>
      </c>
      <c r="H63" s="144">
        <f t="shared" si="98"/>
        <v>0</v>
      </c>
      <c r="I63" s="145"/>
      <c r="J63" s="144">
        <f t="shared" si="99"/>
        <v>0</v>
      </c>
      <c r="K63" s="147"/>
      <c r="L63" s="144">
        <f t="shared" si="100"/>
        <v>0</v>
      </c>
      <c r="M63" s="145">
        <v>1</v>
      </c>
      <c r="N63" s="144">
        <f t="shared" si="101"/>
        <v>48.635000000000005</v>
      </c>
      <c r="O63" s="147">
        <v>2</v>
      </c>
      <c r="P63" s="144">
        <f t="shared" si="102"/>
        <v>97.27000000000001</v>
      </c>
      <c r="Q63" s="145">
        <v>1</v>
      </c>
      <c r="R63" s="144">
        <f t="shared" si="103"/>
        <v>46.491568025135855</v>
      </c>
      <c r="S63" s="147">
        <v>1.5</v>
      </c>
      <c r="T63" s="144">
        <f t="shared" si="104"/>
        <v>69.737352037703786</v>
      </c>
      <c r="U63" s="145"/>
      <c r="V63" s="144">
        <f t="shared" si="105"/>
        <v>0</v>
      </c>
      <c r="W63" s="147"/>
      <c r="X63" s="144">
        <f t="shared" si="106"/>
        <v>0</v>
      </c>
      <c r="Y63" s="145"/>
      <c r="Z63" s="144">
        <f t="shared" si="107"/>
        <v>0</v>
      </c>
      <c r="AA63" s="147"/>
      <c r="AB63" s="144">
        <f t="shared" si="108"/>
        <v>0</v>
      </c>
      <c r="AC63" s="145"/>
      <c r="AD63" s="144">
        <f t="shared" si="109"/>
        <v>0</v>
      </c>
      <c r="AE63" s="147"/>
      <c r="AF63" s="144">
        <f t="shared" si="110"/>
        <v>0</v>
      </c>
      <c r="AG63" s="145"/>
      <c r="AH63" s="144">
        <f t="shared" si="111"/>
        <v>0</v>
      </c>
      <c r="AI63" s="147"/>
      <c r="AJ63" s="144">
        <f t="shared" si="112"/>
        <v>0</v>
      </c>
      <c r="AK63" s="145"/>
      <c r="AL63" s="144">
        <f t="shared" si="113"/>
        <v>0</v>
      </c>
      <c r="AM63" s="147"/>
      <c r="AN63" s="144">
        <f t="shared" si="114"/>
        <v>0</v>
      </c>
      <c r="AO63" s="145"/>
      <c r="AP63" s="144">
        <f t="shared" si="115"/>
        <v>0</v>
      </c>
      <c r="AQ63" s="147"/>
      <c r="AR63" s="144">
        <f t="shared" si="116"/>
        <v>0</v>
      </c>
      <c r="AS63" s="148">
        <f>AS62</f>
        <v>0</v>
      </c>
      <c r="AT63" s="149">
        <f t="shared" ref="AT63" si="126">AS63*0.9</f>
        <v>0</v>
      </c>
      <c r="AU63" s="150">
        <f>AU62</f>
        <v>1.0000000000000001E-5</v>
      </c>
      <c r="AV63" s="144">
        <f t="shared" si="117"/>
        <v>0</v>
      </c>
      <c r="AW63" s="151">
        <f>AW62</f>
        <v>0</v>
      </c>
      <c r="AX63" s="152">
        <f t="shared" si="118"/>
        <v>1.0000000000000001E-5</v>
      </c>
      <c r="AY63" s="144">
        <f t="shared" ref="AY63" si="127">(AU63-AX63)*AT63</f>
        <v>0</v>
      </c>
      <c r="AZ63" s="144">
        <f t="shared" si="119"/>
        <v>95.126568025135867</v>
      </c>
      <c r="BA63" s="144">
        <f t="shared" si="120"/>
        <v>117.3177270377038</v>
      </c>
      <c r="BB63" s="153">
        <f t="shared" si="121"/>
        <v>22.191159012567937</v>
      </c>
      <c r="BC63" s="241">
        <v>0.4</v>
      </c>
      <c r="BD63" s="155">
        <f>BE63-BD62-BD48-BD47</f>
        <v>1.2000000000000004E-2</v>
      </c>
      <c r="BE63" s="221">
        <v>0.1</v>
      </c>
    </row>
    <row r="64" spans="1:58" s="248" customFormat="1" ht="15" x14ac:dyDescent="0.25">
      <c r="A64" s="137"/>
      <c r="B64" s="240"/>
      <c r="C64" s="246" t="s">
        <v>66</v>
      </c>
      <c r="D64" s="157" t="str">
        <f t="shared" si="97"/>
        <v>ja</v>
      </c>
      <c r="E64" s="158"/>
      <c r="F64" s="159">
        <v>0</v>
      </c>
      <c r="G64" s="160">
        <v>0</v>
      </c>
      <c r="H64" s="165">
        <f t="shared" si="98"/>
        <v>0</v>
      </c>
      <c r="I64" s="162">
        <v>0.5</v>
      </c>
      <c r="J64" s="165">
        <f t="shared" si="99"/>
        <v>68.814999999999998</v>
      </c>
      <c r="K64" s="164">
        <v>0.7</v>
      </c>
      <c r="L64" s="165">
        <f t="shared" si="100"/>
        <v>96.340999999999994</v>
      </c>
      <c r="M64" s="162">
        <v>0.5</v>
      </c>
      <c r="N64" s="165">
        <f t="shared" si="101"/>
        <v>24.317500000000003</v>
      </c>
      <c r="O64" s="164">
        <v>1</v>
      </c>
      <c r="P64" s="165">
        <f t="shared" si="102"/>
        <v>48.635000000000005</v>
      </c>
      <c r="Q64" s="162">
        <v>1</v>
      </c>
      <c r="R64" s="165">
        <f t="shared" si="103"/>
        <v>46.491568025135855</v>
      </c>
      <c r="S64" s="164">
        <v>1.5</v>
      </c>
      <c r="T64" s="165">
        <f t="shared" si="104"/>
        <v>69.737352037703786</v>
      </c>
      <c r="U64" s="162"/>
      <c r="V64" s="165">
        <f t="shared" si="105"/>
        <v>0</v>
      </c>
      <c r="W64" s="164"/>
      <c r="X64" s="165">
        <f t="shared" si="106"/>
        <v>0</v>
      </c>
      <c r="Y64" s="162"/>
      <c r="Z64" s="165">
        <f t="shared" si="107"/>
        <v>0</v>
      </c>
      <c r="AA64" s="164"/>
      <c r="AB64" s="165">
        <f t="shared" si="108"/>
        <v>0</v>
      </c>
      <c r="AC64" s="162"/>
      <c r="AD64" s="165">
        <f t="shared" si="109"/>
        <v>0</v>
      </c>
      <c r="AE64" s="164"/>
      <c r="AF64" s="165">
        <f t="shared" si="110"/>
        <v>0</v>
      </c>
      <c r="AG64" s="162"/>
      <c r="AH64" s="165">
        <f t="shared" si="111"/>
        <v>0</v>
      </c>
      <c r="AI64" s="164"/>
      <c r="AJ64" s="165">
        <f t="shared" si="112"/>
        <v>0</v>
      </c>
      <c r="AK64" s="162"/>
      <c r="AL64" s="165">
        <f t="shared" si="113"/>
        <v>0</v>
      </c>
      <c r="AM64" s="164"/>
      <c r="AN64" s="165">
        <f t="shared" si="114"/>
        <v>0</v>
      </c>
      <c r="AO64" s="162"/>
      <c r="AP64" s="165">
        <f t="shared" si="115"/>
        <v>0</v>
      </c>
      <c r="AQ64" s="164"/>
      <c r="AR64" s="165">
        <f t="shared" si="116"/>
        <v>0</v>
      </c>
      <c r="AS64" s="166">
        <v>0</v>
      </c>
      <c r="AT64" s="167">
        <f>AS64*0.9</f>
        <v>0</v>
      </c>
      <c r="AU64" s="168">
        <f>AU49</f>
        <v>1.0000000000000001E-5</v>
      </c>
      <c r="AV64" s="165">
        <f t="shared" si="117"/>
        <v>0</v>
      </c>
      <c r="AW64" s="169">
        <v>0</v>
      </c>
      <c r="AX64" s="170">
        <f t="shared" si="118"/>
        <v>1.0000000000000001E-5</v>
      </c>
      <c r="AY64" s="165">
        <f>(AU64-AX64)*AT64</f>
        <v>0</v>
      </c>
      <c r="AZ64" s="165">
        <f t="shared" si="119"/>
        <v>139.62406802513584</v>
      </c>
      <c r="BA64" s="165">
        <f t="shared" si="120"/>
        <v>165.02372703770376</v>
      </c>
      <c r="BB64" s="222">
        <f t="shared" si="121"/>
        <v>25.399659012567923</v>
      </c>
      <c r="BC64" s="243">
        <v>0.6</v>
      </c>
      <c r="BD64" s="172">
        <f>0.2*BC64*BE65</f>
        <v>3.5999999999999997E-2</v>
      </c>
      <c r="BE64" s="247"/>
      <c r="BF64" s="247"/>
    </row>
    <row r="65" spans="1:58" s="248" customFormat="1" ht="15" x14ac:dyDescent="0.25">
      <c r="A65" s="137"/>
      <c r="B65" s="240"/>
      <c r="C65" s="249"/>
      <c r="D65" s="140" t="str">
        <f t="shared" si="97"/>
        <v>nein</v>
      </c>
      <c r="E65" s="141"/>
      <c r="F65" s="142">
        <v>0</v>
      </c>
      <c r="G65" s="143">
        <v>0</v>
      </c>
      <c r="H65" s="144">
        <f t="shared" si="98"/>
        <v>0</v>
      </c>
      <c r="I65" s="145"/>
      <c r="J65" s="144">
        <f t="shared" si="99"/>
        <v>0</v>
      </c>
      <c r="K65" s="147"/>
      <c r="L65" s="144">
        <f t="shared" si="100"/>
        <v>0</v>
      </c>
      <c r="M65" s="145">
        <v>1</v>
      </c>
      <c r="N65" s="144">
        <f t="shared" si="101"/>
        <v>48.635000000000005</v>
      </c>
      <c r="O65" s="147">
        <v>2</v>
      </c>
      <c r="P65" s="144">
        <f t="shared" si="102"/>
        <v>97.27000000000001</v>
      </c>
      <c r="Q65" s="145">
        <v>1</v>
      </c>
      <c r="R65" s="144">
        <f t="shared" si="103"/>
        <v>46.491568025135855</v>
      </c>
      <c r="S65" s="147">
        <v>1.5</v>
      </c>
      <c r="T65" s="144">
        <f t="shared" si="104"/>
        <v>69.737352037703786</v>
      </c>
      <c r="U65" s="145"/>
      <c r="V65" s="144">
        <f t="shared" si="105"/>
        <v>0</v>
      </c>
      <c r="W65" s="147"/>
      <c r="X65" s="144">
        <f t="shared" si="106"/>
        <v>0</v>
      </c>
      <c r="Y65" s="145"/>
      <c r="Z65" s="144">
        <f t="shared" si="107"/>
        <v>0</v>
      </c>
      <c r="AA65" s="147"/>
      <c r="AB65" s="144">
        <f t="shared" si="108"/>
        <v>0</v>
      </c>
      <c r="AC65" s="145"/>
      <c r="AD65" s="144">
        <f t="shared" si="109"/>
        <v>0</v>
      </c>
      <c r="AE65" s="147"/>
      <c r="AF65" s="144">
        <f t="shared" si="110"/>
        <v>0</v>
      </c>
      <c r="AG65" s="145"/>
      <c r="AH65" s="144">
        <f t="shared" si="111"/>
        <v>0</v>
      </c>
      <c r="AI65" s="147"/>
      <c r="AJ65" s="144">
        <f t="shared" si="112"/>
        <v>0</v>
      </c>
      <c r="AK65" s="145"/>
      <c r="AL65" s="144">
        <f t="shared" si="113"/>
        <v>0</v>
      </c>
      <c r="AM65" s="147"/>
      <c r="AN65" s="144">
        <f t="shared" si="114"/>
        <v>0</v>
      </c>
      <c r="AO65" s="145"/>
      <c r="AP65" s="144">
        <f t="shared" si="115"/>
        <v>0</v>
      </c>
      <c r="AQ65" s="147"/>
      <c r="AR65" s="144">
        <f t="shared" si="116"/>
        <v>0</v>
      </c>
      <c r="AS65" s="148">
        <f>AS64</f>
        <v>0</v>
      </c>
      <c r="AT65" s="149">
        <f t="shared" ref="AT65" si="128">AS65*0.9</f>
        <v>0</v>
      </c>
      <c r="AU65" s="150">
        <f>AU64</f>
        <v>1.0000000000000001E-5</v>
      </c>
      <c r="AV65" s="144">
        <f t="shared" si="117"/>
        <v>0</v>
      </c>
      <c r="AW65" s="151">
        <f>AW64</f>
        <v>0</v>
      </c>
      <c r="AX65" s="152">
        <f t="shared" si="118"/>
        <v>1.0000000000000001E-5</v>
      </c>
      <c r="AY65" s="144">
        <f t="shared" ref="AY65" si="129">(AU65-AX65)*AT65</f>
        <v>0</v>
      </c>
      <c r="AZ65" s="144">
        <f t="shared" si="119"/>
        <v>95.126568025135867</v>
      </c>
      <c r="BA65" s="144">
        <f t="shared" si="120"/>
        <v>117.3177270377038</v>
      </c>
      <c r="BB65" s="153">
        <f t="shared" si="121"/>
        <v>22.191159012567937</v>
      </c>
      <c r="BC65" s="241">
        <v>0.4</v>
      </c>
      <c r="BD65" s="155">
        <f>BE65-BD64-BD50-BD49</f>
        <v>2.3999999999999994E-2</v>
      </c>
      <c r="BE65" s="221">
        <v>0.3</v>
      </c>
      <c r="BF65" s="247"/>
    </row>
    <row r="66" spans="1:58" ht="14.25" x14ac:dyDescent="0.25">
      <c r="A66" s="137"/>
      <c r="B66" s="240"/>
      <c r="C66" s="250" t="s">
        <v>67</v>
      </c>
      <c r="D66" s="157" t="str">
        <f t="shared" si="97"/>
        <v>ja</v>
      </c>
      <c r="E66" s="158"/>
      <c r="F66" s="159">
        <v>0</v>
      </c>
      <c r="G66" s="160">
        <v>0</v>
      </c>
      <c r="H66" s="165">
        <f t="shared" si="98"/>
        <v>0</v>
      </c>
      <c r="I66" s="162">
        <v>0.2</v>
      </c>
      <c r="J66" s="165">
        <f t="shared" si="99"/>
        <v>27.526</v>
      </c>
      <c r="K66" s="164">
        <v>0.5</v>
      </c>
      <c r="L66" s="165">
        <f t="shared" si="100"/>
        <v>68.814999999999998</v>
      </c>
      <c r="M66" s="162">
        <v>0.8</v>
      </c>
      <c r="N66" s="165">
        <f t="shared" si="101"/>
        <v>38.908000000000008</v>
      </c>
      <c r="O66" s="164">
        <v>1.5</v>
      </c>
      <c r="P66" s="165">
        <f t="shared" si="102"/>
        <v>72.952500000000015</v>
      </c>
      <c r="Q66" s="162">
        <v>1</v>
      </c>
      <c r="R66" s="165">
        <f t="shared" si="103"/>
        <v>46.491568025135855</v>
      </c>
      <c r="S66" s="164">
        <v>1.5</v>
      </c>
      <c r="T66" s="165">
        <f t="shared" si="104"/>
        <v>69.737352037703786</v>
      </c>
      <c r="U66" s="162"/>
      <c r="V66" s="165">
        <f t="shared" si="105"/>
        <v>0</v>
      </c>
      <c r="W66" s="164">
        <v>1</v>
      </c>
      <c r="X66" s="165">
        <f t="shared" si="106"/>
        <v>16.315354141656663</v>
      </c>
      <c r="Y66" s="162"/>
      <c r="Z66" s="165">
        <f t="shared" si="107"/>
        <v>0</v>
      </c>
      <c r="AA66" s="164"/>
      <c r="AB66" s="165">
        <f t="shared" si="108"/>
        <v>0</v>
      </c>
      <c r="AC66" s="162"/>
      <c r="AD66" s="165">
        <f t="shared" si="109"/>
        <v>0</v>
      </c>
      <c r="AE66" s="164"/>
      <c r="AF66" s="165">
        <f t="shared" si="110"/>
        <v>0</v>
      </c>
      <c r="AG66" s="162"/>
      <c r="AH66" s="165">
        <f t="shared" si="111"/>
        <v>0</v>
      </c>
      <c r="AI66" s="164"/>
      <c r="AJ66" s="165">
        <f t="shared" si="112"/>
        <v>0</v>
      </c>
      <c r="AK66" s="162"/>
      <c r="AL66" s="165">
        <f t="shared" si="113"/>
        <v>0</v>
      </c>
      <c r="AM66" s="164"/>
      <c r="AN66" s="165">
        <f t="shared" si="114"/>
        <v>0</v>
      </c>
      <c r="AO66" s="162"/>
      <c r="AP66" s="165">
        <f t="shared" si="115"/>
        <v>0</v>
      </c>
      <c r="AQ66" s="164"/>
      <c r="AR66" s="165">
        <f t="shared" si="116"/>
        <v>0</v>
      </c>
      <c r="AS66" s="166">
        <v>0</v>
      </c>
      <c r="AT66" s="167">
        <f>AS66*0.9</f>
        <v>0</v>
      </c>
      <c r="AU66" s="168">
        <f>AU51</f>
        <v>1.0000000000000001E-5</v>
      </c>
      <c r="AV66" s="165">
        <f t="shared" si="117"/>
        <v>0</v>
      </c>
      <c r="AW66" s="169">
        <v>0</v>
      </c>
      <c r="AX66" s="170">
        <f t="shared" si="118"/>
        <v>1.0000000000000001E-5</v>
      </c>
      <c r="AY66" s="165">
        <f>(AU66-AX66)*AT66</f>
        <v>0</v>
      </c>
      <c r="AZ66" s="165">
        <f t="shared" si="119"/>
        <v>112.92556802513587</v>
      </c>
      <c r="BA66" s="165">
        <f t="shared" si="120"/>
        <v>178.13058117936046</v>
      </c>
      <c r="BB66" s="222">
        <f t="shared" si="121"/>
        <v>65.205013154224588</v>
      </c>
      <c r="BC66" s="243">
        <v>0.6</v>
      </c>
      <c r="BD66" s="172">
        <f>0.6*BC66*BE67</f>
        <v>0</v>
      </c>
    </row>
    <row r="67" spans="1:58" ht="14.25" x14ac:dyDescent="0.25">
      <c r="A67" s="137"/>
      <c r="B67" s="240"/>
      <c r="C67" s="251"/>
      <c r="D67" s="140" t="str">
        <f t="shared" si="97"/>
        <v>nein</v>
      </c>
      <c r="E67" s="141"/>
      <c r="F67" s="142">
        <v>0</v>
      </c>
      <c r="G67" s="143">
        <v>0</v>
      </c>
      <c r="H67" s="144">
        <f t="shared" si="98"/>
        <v>0</v>
      </c>
      <c r="I67" s="145"/>
      <c r="J67" s="144">
        <f t="shared" si="99"/>
        <v>0</v>
      </c>
      <c r="K67" s="147"/>
      <c r="L67" s="144">
        <f t="shared" si="100"/>
        <v>0</v>
      </c>
      <c r="M67" s="145">
        <v>1</v>
      </c>
      <c r="N67" s="144">
        <f t="shared" si="101"/>
        <v>48.635000000000005</v>
      </c>
      <c r="O67" s="147">
        <v>2.5</v>
      </c>
      <c r="P67" s="144">
        <f t="shared" si="102"/>
        <v>121.58750000000001</v>
      </c>
      <c r="Q67" s="145">
        <v>2</v>
      </c>
      <c r="R67" s="144">
        <f t="shared" si="103"/>
        <v>92.98313605027171</v>
      </c>
      <c r="S67" s="147">
        <v>2</v>
      </c>
      <c r="T67" s="144">
        <f t="shared" si="104"/>
        <v>92.98313605027171</v>
      </c>
      <c r="U67" s="145"/>
      <c r="V67" s="144">
        <f t="shared" si="105"/>
        <v>0</v>
      </c>
      <c r="W67" s="147">
        <v>1</v>
      </c>
      <c r="X67" s="144">
        <f t="shared" si="106"/>
        <v>16.315354141656663</v>
      </c>
      <c r="Y67" s="145"/>
      <c r="Z67" s="144">
        <f t="shared" si="107"/>
        <v>0</v>
      </c>
      <c r="AA67" s="147"/>
      <c r="AB67" s="144">
        <f t="shared" si="108"/>
        <v>0</v>
      </c>
      <c r="AC67" s="145"/>
      <c r="AD67" s="144">
        <f t="shared" si="109"/>
        <v>0</v>
      </c>
      <c r="AE67" s="147"/>
      <c r="AF67" s="144">
        <f t="shared" si="110"/>
        <v>0</v>
      </c>
      <c r="AG67" s="145"/>
      <c r="AH67" s="144">
        <f t="shared" si="111"/>
        <v>0</v>
      </c>
      <c r="AI67" s="147"/>
      <c r="AJ67" s="144">
        <f t="shared" si="112"/>
        <v>0</v>
      </c>
      <c r="AK67" s="145"/>
      <c r="AL67" s="144">
        <f t="shared" si="113"/>
        <v>0</v>
      </c>
      <c r="AM67" s="147"/>
      <c r="AN67" s="144">
        <f t="shared" si="114"/>
        <v>0</v>
      </c>
      <c r="AO67" s="145"/>
      <c r="AP67" s="144">
        <f t="shared" si="115"/>
        <v>0</v>
      </c>
      <c r="AQ67" s="147"/>
      <c r="AR67" s="144">
        <f t="shared" si="116"/>
        <v>0</v>
      </c>
      <c r="AS67" s="148">
        <f>AS66</f>
        <v>0</v>
      </c>
      <c r="AT67" s="149">
        <f t="shared" ref="AT67" si="130">AS67*0.9</f>
        <v>0</v>
      </c>
      <c r="AU67" s="150">
        <f>AU66</f>
        <v>1.0000000000000001E-5</v>
      </c>
      <c r="AV67" s="144">
        <f t="shared" si="117"/>
        <v>0</v>
      </c>
      <c r="AW67" s="151">
        <f>AW66</f>
        <v>0</v>
      </c>
      <c r="AX67" s="152">
        <f t="shared" si="118"/>
        <v>1.0000000000000001E-5</v>
      </c>
      <c r="AY67" s="144">
        <f t="shared" ref="AY67" si="131">(AU67-AX67)*AT67</f>
        <v>0</v>
      </c>
      <c r="AZ67" s="144">
        <f t="shared" si="119"/>
        <v>141.61813605027172</v>
      </c>
      <c r="BA67" s="144">
        <f t="shared" si="120"/>
        <v>181.19636519192838</v>
      </c>
      <c r="BB67" s="153">
        <f t="shared" si="121"/>
        <v>39.578229141656664</v>
      </c>
      <c r="BC67" s="241">
        <v>0.4</v>
      </c>
      <c r="BD67" s="155">
        <f>BE67-BD66-BD52-BD51</f>
        <v>0</v>
      </c>
      <c r="BE67" s="221">
        <v>0</v>
      </c>
    </row>
    <row r="68" spans="1:58" ht="14.25" x14ac:dyDescent="0.25">
      <c r="A68" s="137"/>
      <c r="B68" s="240"/>
      <c r="C68" s="250" t="s">
        <v>68</v>
      </c>
      <c r="D68" s="252" t="str">
        <f t="shared" si="97"/>
        <v>ja</v>
      </c>
      <c r="E68" s="253"/>
      <c r="F68" s="254">
        <v>0</v>
      </c>
      <c r="G68" s="255">
        <v>0</v>
      </c>
      <c r="H68" s="256">
        <f t="shared" si="98"/>
        <v>0</v>
      </c>
      <c r="I68" s="257">
        <v>0.4</v>
      </c>
      <c r="J68" s="256">
        <f t="shared" si="99"/>
        <v>55.052</v>
      </c>
      <c r="K68" s="258">
        <v>0.6</v>
      </c>
      <c r="L68" s="256">
        <f t="shared" si="100"/>
        <v>82.577999999999989</v>
      </c>
      <c r="M68" s="257">
        <v>0.6</v>
      </c>
      <c r="N68" s="256">
        <f t="shared" si="101"/>
        <v>29.181000000000001</v>
      </c>
      <c r="O68" s="258">
        <v>1</v>
      </c>
      <c r="P68" s="256">
        <f t="shared" si="102"/>
        <v>48.635000000000005</v>
      </c>
      <c r="Q68" s="257">
        <v>0.5</v>
      </c>
      <c r="R68" s="256">
        <f t="shared" si="103"/>
        <v>23.245784012567928</v>
      </c>
      <c r="S68" s="258">
        <v>1</v>
      </c>
      <c r="T68" s="256">
        <f t="shared" si="104"/>
        <v>46.491568025135855</v>
      </c>
      <c r="U68" s="257"/>
      <c r="V68" s="256">
        <f t="shared" si="105"/>
        <v>0</v>
      </c>
      <c r="W68" s="258"/>
      <c r="X68" s="256">
        <f t="shared" si="106"/>
        <v>0</v>
      </c>
      <c r="Y68" s="257"/>
      <c r="Z68" s="256">
        <f t="shared" si="107"/>
        <v>0</v>
      </c>
      <c r="AA68" s="258"/>
      <c r="AB68" s="256">
        <f t="shared" si="108"/>
        <v>0</v>
      </c>
      <c r="AC68" s="257"/>
      <c r="AD68" s="256">
        <f t="shared" si="109"/>
        <v>0</v>
      </c>
      <c r="AE68" s="258"/>
      <c r="AF68" s="256">
        <f t="shared" si="110"/>
        <v>0</v>
      </c>
      <c r="AG68" s="257"/>
      <c r="AH68" s="256">
        <f t="shared" si="111"/>
        <v>0</v>
      </c>
      <c r="AI68" s="258"/>
      <c r="AJ68" s="256">
        <f t="shared" si="112"/>
        <v>0</v>
      </c>
      <c r="AK68" s="257"/>
      <c r="AL68" s="256">
        <f t="shared" si="113"/>
        <v>0</v>
      </c>
      <c r="AM68" s="258"/>
      <c r="AN68" s="256">
        <f t="shared" si="114"/>
        <v>0</v>
      </c>
      <c r="AO68" s="257"/>
      <c r="AP68" s="256">
        <f t="shared" si="115"/>
        <v>0</v>
      </c>
      <c r="AQ68" s="258"/>
      <c r="AR68" s="256">
        <f t="shared" si="116"/>
        <v>0</v>
      </c>
      <c r="AS68" s="259">
        <v>0</v>
      </c>
      <c r="AT68" s="260">
        <f>AS68*0.9</f>
        <v>0</v>
      </c>
      <c r="AU68" s="261">
        <f>AU53</f>
        <v>1.0000000000000001E-5</v>
      </c>
      <c r="AV68" s="256">
        <f t="shared" si="117"/>
        <v>0</v>
      </c>
      <c r="AW68" s="262">
        <v>0</v>
      </c>
      <c r="AX68" s="263">
        <f t="shared" si="118"/>
        <v>1.0000000000000001E-5</v>
      </c>
      <c r="AY68" s="256">
        <f>(AU68-AX68)*AT68</f>
        <v>0</v>
      </c>
      <c r="AZ68" s="256">
        <f t="shared" si="119"/>
        <v>107.47878401256793</v>
      </c>
      <c r="BA68" s="256">
        <f t="shared" si="120"/>
        <v>128.01494302513584</v>
      </c>
      <c r="BB68" s="222">
        <f t="shared" si="121"/>
        <v>20.536159012567907</v>
      </c>
      <c r="BC68" s="264">
        <v>0.4</v>
      </c>
      <c r="BD68" s="265">
        <f>0.8*BC68*BE69</f>
        <v>3.2000000000000001E-2</v>
      </c>
    </row>
    <row r="69" spans="1:58" ht="15" thickBot="1" x14ac:dyDescent="0.3">
      <c r="A69" s="137"/>
      <c r="B69" s="240"/>
      <c r="C69" s="266"/>
      <c r="D69" s="140" t="str">
        <f t="shared" si="97"/>
        <v>nein</v>
      </c>
      <c r="E69" s="141"/>
      <c r="F69" s="142">
        <v>0</v>
      </c>
      <c r="G69" s="143">
        <v>0</v>
      </c>
      <c r="H69" s="144">
        <f t="shared" si="98"/>
        <v>0</v>
      </c>
      <c r="I69" s="145"/>
      <c r="J69" s="144">
        <f t="shared" si="99"/>
        <v>0</v>
      </c>
      <c r="K69" s="147"/>
      <c r="L69" s="144">
        <f t="shared" si="100"/>
        <v>0</v>
      </c>
      <c r="M69" s="145">
        <v>1</v>
      </c>
      <c r="N69" s="144">
        <f t="shared" si="101"/>
        <v>48.635000000000005</v>
      </c>
      <c r="O69" s="147">
        <v>2</v>
      </c>
      <c r="P69" s="144">
        <f t="shared" si="102"/>
        <v>97.27000000000001</v>
      </c>
      <c r="Q69" s="145">
        <v>1</v>
      </c>
      <c r="R69" s="144">
        <f t="shared" si="103"/>
        <v>46.491568025135855</v>
      </c>
      <c r="S69" s="147">
        <v>1.5</v>
      </c>
      <c r="T69" s="144">
        <f t="shared" si="104"/>
        <v>69.737352037703786</v>
      </c>
      <c r="U69" s="145"/>
      <c r="V69" s="144">
        <f t="shared" si="105"/>
        <v>0</v>
      </c>
      <c r="W69" s="147"/>
      <c r="X69" s="144">
        <f t="shared" si="106"/>
        <v>0</v>
      </c>
      <c r="Y69" s="145"/>
      <c r="Z69" s="144">
        <f t="shared" si="107"/>
        <v>0</v>
      </c>
      <c r="AA69" s="147"/>
      <c r="AB69" s="144">
        <f t="shared" si="108"/>
        <v>0</v>
      </c>
      <c r="AC69" s="145"/>
      <c r="AD69" s="144">
        <f t="shared" si="109"/>
        <v>0</v>
      </c>
      <c r="AE69" s="147"/>
      <c r="AF69" s="144">
        <f t="shared" si="110"/>
        <v>0</v>
      </c>
      <c r="AG69" s="145"/>
      <c r="AH69" s="144">
        <f t="shared" si="111"/>
        <v>0</v>
      </c>
      <c r="AI69" s="147"/>
      <c r="AJ69" s="144">
        <f t="shared" si="112"/>
        <v>0</v>
      </c>
      <c r="AK69" s="145"/>
      <c r="AL69" s="144">
        <f t="shared" si="113"/>
        <v>0</v>
      </c>
      <c r="AM69" s="147"/>
      <c r="AN69" s="144">
        <f t="shared" si="114"/>
        <v>0</v>
      </c>
      <c r="AO69" s="145"/>
      <c r="AP69" s="144">
        <f t="shared" si="115"/>
        <v>0</v>
      </c>
      <c r="AQ69" s="147"/>
      <c r="AR69" s="144">
        <f t="shared" si="116"/>
        <v>0</v>
      </c>
      <c r="AS69" s="148">
        <f>AS68</f>
        <v>0</v>
      </c>
      <c r="AT69" s="149">
        <f t="shared" ref="AT69" si="132">AS69*0.9</f>
        <v>0</v>
      </c>
      <c r="AU69" s="150">
        <f>AU68</f>
        <v>1.0000000000000001E-5</v>
      </c>
      <c r="AV69" s="144">
        <f t="shared" si="117"/>
        <v>0</v>
      </c>
      <c r="AW69" s="151">
        <f>AW68</f>
        <v>0</v>
      </c>
      <c r="AX69" s="152">
        <f t="shared" si="118"/>
        <v>1.0000000000000001E-5</v>
      </c>
      <c r="AY69" s="144">
        <f t="shared" ref="AY69" si="133">(AU69-AX69)*AT69</f>
        <v>0</v>
      </c>
      <c r="AZ69" s="144">
        <f t="shared" si="119"/>
        <v>95.126568025135867</v>
      </c>
      <c r="BA69" s="144">
        <f t="shared" si="120"/>
        <v>117.3177270377038</v>
      </c>
      <c r="BB69" s="153">
        <f t="shared" si="121"/>
        <v>22.191159012567937</v>
      </c>
      <c r="BC69" s="241">
        <v>0.6</v>
      </c>
      <c r="BD69" s="155">
        <f>BE69-BD68-BD54-BD53</f>
        <v>4.799999999999998E-2</v>
      </c>
      <c r="BE69" s="223">
        <f>1-BE67-BE65-BE63-BE61-BE59</f>
        <v>9.9999999999999978E-2</v>
      </c>
    </row>
    <row r="70" spans="1:58" ht="14.25" x14ac:dyDescent="0.25">
      <c r="A70" s="137"/>
      <c r="B70" s="240"/>
      <c r="C70" s="267" t="s">
        <v>69</v>
      </c>
      <c r="D70" s="121" t="str">
        <f t="shared" ref="D70:D71" si="134">D57</f>
        <v>Ø</v>
      </c>
      <c r="E70" s="194"/>
      <c r="F70" s="195"/>
      <c r="G70" s="196"/>
      <c r="H70" s="197"/>
      <c r="I70" s="198"/>
      <c r="J70" s="197"/>
      <c r="K70" s="199"/>
      <c r="L70" s="197"/>
      <c r="M70" s="198"/>
      <c r="N70" s="197"/>
      <c r="O70" s="199"/>
      <c r="P70" s="197"/>
      <c r="Q70" s="198"/>
      <c r="R70" s="197"/>
      <c r="S70" s="199"/>
      <c r="T70" s="197"/>
      <c r="U70" s="198"/>
      <c r="V70" s="197"/>
      <c r="W70" s="199"/>
      <c r="X70" s="197"/>
      <c r="Y70" s="198"/>
      <c r="Z70" s="197"/>
      <c r="AA70" s="199"/>
      <c r="AB70" s="197"/>
      <c r="AC70" s="198"/>
      <c r="AD70" s="197"/>
      <c r="AE70" s="199"/>
      <c r="AF70" s="197"/>
      <c r="AG70" s="198"/>
      <c r="AH70" s="197"/>
      <c r="AI70" s="199"/>
      <c r="AJ70" s="197"/>
      <c r="AK70" s="198"/>
      <c r="AL70" s="197"/>
      <c r="AM70" s="199"/>
      <c r="AN70" s="197"/>
      <c r="AO70" s="198"/>
      <c r="AP70" s="197"/>
      <c r="AQ70" s="199"/>
      <c r="AR70" s="197"/>
      <c r="AS70" s="200"/>
      <c r="AT70" s="200"/>
      <c r="AU70" s="201"/>
      <c r="AV70" s="197"/>
      <c r="AW70" s="201"/>
      <c r="AX70" s="201"/>
      <c r="AY70" s="197"/>
      <c r="AZ70" s="197"/>
      <c r="BA70" s="202"/>
      <c r="BB70" s="220">
        <f>(BB58*BD58+BB60*BD60+BB62*BD62+BB64*BD64+BB66*BD66+BB68*BD68)/(BD58+BD60+BD62+BD64+BD66+BD68)</f>
        <v>49.851855332741877</v>
      </c>
      <c r="BC70" s="203"/>
      <c r="BD70" s="136">
        <f>BD58+BD60+BD62+BD64+BD66+BD68</f>
        <v>0.20399993</v>
      </c>
    </row>
    <row r="71" spans="1:58" ht="15" thickBot="1" x14ac:dyDescent="0.3">
      <c r="A71" s="137"/>
      <c r="B71" s="240"/>
      <c r="C71" s="266"/>
      <c r="D71" s="178" t="str">
        <f t="shared" si="134"/>
        <v>ja</v>
      </c>
      <c r="E71" s="204"/>
      <c r="F71" s="205"/>
      <c r="G71" s="206"/>
      <c r="H71" s="115"/>
      <c r="I71" s="207"/>
      <c r="J71" s="115"/>
      <c r="K71" s="208"/>
      <c r="L71" s="115"/>
      <c r="M71" s="207"/>
      <c r="N71" s="115"/>
      <c r="O71" s="208"/>
      <c r="P71" s="115"/>
      <c r="Q71" s="207"/>
      <c r="R71" s="115"/>
      <c r="S71" s="208"/>
      <c r="T71" s="115"/>
      <c r="U71" s="207"/>
      <c r="V71" s="115"/>
      <c r="W71" s="208"/>
      <c r="X71" s="115"/>
      <c r="Y71" s="207"/>
      <c r="Z71" s="115"/>
      <c r="AA71" s="208"/>
      <c r="AB71" s="115"/>
      <c r="AC71" s="207"/>
      <c r="AD71" s="115"/>
      <c r="AE71" s="208"/>
      <c r="AF71" s="115"/>
      <c r="AG71" s="207"/>
      <c r="AH71" s="115"/>
      <c r="AI71" s="208"/>
      <c r="AJ71" s="115"/>
      <c r="AK71" s="207"/>
      <c r="AL71" s="115"/>
      <c r="AM71" s="208"/>
      <c r="AN71" s="115"/>
      <c r="AO71" s="207"/>
      <c r="AP71" s="115"/>
      <c r="AQ71" s="208"/>
      <c r="AR71" s="115"/>
      <c r="AS71" s="209"/>
      <c r="AT71" s="209"/>
      <c r="AU71" s="210"/>
      <c r="AV71" s="115"/>
      <c r="AW71" s="210"/>
      <c r="AX71" s="210"/>
      <c r="AY71" s="115"/>
      <c r="AZ71" s="115"/>
      <c r="BA71" s="116"/>
      <c r="BB71" s="225">
        <f>(BB59*BD59+BB61*BD61+BB63*BD63+BB65*BD65+BB67*BD67+BB69*BD69)/(BD59+BD61+BD63+BD65+BD67+BD69)</f>
        <v>21.956261875122951</v>
      </c>
      <c r="BC71" s="211"/>
      <c r="BD71" s="192">
        <f>BD59+BD61+BD63+BD65+BD67+BD69</f>
        <v>0.14599970000000001</v>
      </c>
    </row>
    <row r="72" spans="1:58" ht="15.75" thickBot="1" x14ac:dyDescent="0.3">
      <c r="A72" s="273"/>
      <c r="B72" s="274"/>
      <c r="C72" s="269"/>
      <c r="D72" s="214" t="s">
        <v>70</v>
      </c>
      <c r="E72" s="226"/>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27"/>
      <c r="BB72" s="228">
        <f>(BB70*BD70+BB71*BD71)/(BD70+BD71)</f>
        <v>38.21541938526866</v>
      </c>
      <c r="BC72" s="217"/>
      <c r="BD72" s="218">
        <f>BD70+BD71</f>
        <v>0.34999963000000001</v>
      </c>
    </row>
    <row r="73" spans="1:58" ht="16.5" thickBot="1" x14ac:dyDescent="0.3">
      <c r="A73" s="229" t="s">
        <v>72</v>
      </c>
      <c r="B73" s="230"/>
      <c r="C73" s="230"/>
      <c r="D73" s="231"/>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2"/>
      <c r="BB73" s="233">
        <f>BB57*(BD57)+BB72*(BD72)</f>
        <v>62.827213094092244</v>
      </c>
      <c r="BC73" s="234"/>
      <c r="BD73" s="235"/>
    </row>
    <row r="74" spans="1:58" s="239" customFormat="1" ht="14.25" x14ac:dyDescent="0.25">
      <c r="A74" s="275" t="s">
        <v>65</v>
      </c>
      <c r="B74" s="236" t="s">
        <v>62</v>
      </c>
      <c r="C74" s="276" t="s">
        <v>61</v>
      </c>
      <c r="D74" s="121" t="str">
        <f t="shared" ref="D74:D85" si="135">D58</f>
        <v>ja</v>
      </c>
      <c r="E74" s="122"/>
      <c r="F74" s="123">
        <v>0</v>
      </c>
      <c r="G74" s="124">
        <v>0</v>
      </c>
      <c r="H74" s="134">
        <f t="shared" ref="H74:H85" si="136">IF(F74=0,0,F74*G74+$G$8+$G$9)</f>
        <v>0</v>
      </c>
      <c r="I74" s="126">
        <v>0.1</v>
      </c>
      <c r="J74" s="134">
        <f t="shared" ref="J74:J85" si="137">I74*(I$13*$B$9+K$13)</f>
        <v>13.763</v>
      </c>
      <c r="K74" s="128">
        <v>0.3</v>
      </c>
      <c r="L74" s="134">
        <f t="shared" ref="L74:L85" si="138">K74*(I$13*$B$9+K$13)</f>
        <v>41.288999999999994</v>
      </c>
      <c r="M74" s="126">
        <v>0.9</v>
      </c>
      <c r="N74" s="134">
        <f t="shared" ref="N74:N85" si="139">M74*(M$13*$B$9+O$13)</f>
        <v>43.771500000000003</v>
      </c>
      <c r="O74" s="128">
        <v>1</v>
      </c>
      <c r="P74" s="134">
        <f t="shared" ref="P74:P85" si="140">O74*(M$13*$B$9+O$13)</f>
        <v>48.635000000000005</v>
      </c>
      <c r="Q74" s="126">
        <v>0.5</v>
      </c>
      <c r="R74" s="134">
        <f t="shared" ref="R74:R85" si="141">Q74*(Q$13*$B$9+S$13)</f>
        <v>23.245784012567928</v>
      </c>
      <c r="S74" s="128">
        <v>1</v>
      </c>
      <c r="T74" s="134">
        <f t="shared" ref="T74:T85" si="142">S74*(Q$13*$B$9+S$13)</f>
        <v>46.491568025135855</v>
      </c>
      <c r="U74" s="126"/>
      <c r="V74" s="134">
        <f t="shared" ref="V74:V85" si="143">U74*(U$13*$B$9+W$13)</f>
        <v>0</v>
      </c>
      <c r="W74" s="128"/>
      <c r="X74" s="134">
        <f t="shared" ref="X74:X85" si="144">W74*(U$13*$B$9+W$13)</f>
        <v>0</v>
      </c>
      <c r="Y74" s="126">
        <v>0.3</v>
      </c>
      <c r="Z74" s="134">
        <f t="shared" ref="Z74:Z85" si="145">Y74*(Y$13*$B$9+AA$13)</f>
        <v>15.846142857142857</v>
      </c>
      <c r="AA74" s="128">
        <v>1</v>
      </c>
      <c r="AB74" s="134">
        <f t="shared" ref="AB74:AB85" si="146">AA74*(Y$13*$B$9+AA$13)</f>
        <v>52.820476190476192</v>
      </c>
      <c r="AC74" s="126"/>
      <c r="AD74" s="134">
        <f t="shared" ref="AD74:AD85" si="147">AC74*(AC$13*$B$9+AE$13)</f>
        <v>0</v>
      </c>
      <c r="AE74" s="128"/>
      <c r="AF74" s="134">
        <f t="shared" ref="AF74:AF85" si="148">AE74*(AC$13*$B$9+AE$13)</f>
        <v>0</v>
      </c>
      <c r="AG74" s="126"/>
      <c r="AH74" s="134">
        <f t="shared" ref="AH74:AH85" si="149">AG74*(AG$13*$B$9+AI$13)</f>
        <v>0</v>
      </c>
      <c r="AI74" s="128"/>
      <c r="AJ74" s="134">
        <f t="shared" ref="AJ74:AJ85" si="150">AI74*(AG$13*$B$9+AI$13)</f>
        <v>0</v>
      </c>
      <c r="AK74" s="126"/>
      <c r="AL74" s="134">
        <f t="shared" ref="AL74:AL85" si="151">AK74*(AK$13*$B$9+AM$13)</f>
        <v>0</v>
      </c>
      <c r="AM74" s="128"/>
      <c r="AN74" s="134">
        <f t="shared" ref="AN74:AN85" si="152">AM74*(AK$13*$B$9+AM$13)</f>
        <v>0</v>
      </c>
      <c r="AO74" s="126"/>
      <c r="AP74" s="134">
        <f t="shared" ref="AP74:AP85" si="153">AO74*(AO$13*$B$9+AQ$13)</f>
        <v>0</v>
      </c>
      <c r="AQ74" s="128"/>
      <c r="AR74" s="134">
        <f t="shared" ref="AR74:AR85" si="154">AQ74*(AO$13*$B$9+AQ$13)</f>
        <v>0</v>
      </c>
      <c r="AS74" s="129">
        <v>0</v>
      </c>
      <c r="AT74" s="130">
        <f>AS74*0.9</f>
        <v>0</v>
      </c>
      <c r="AU74" s="131">
        <v>0</v>
      </c>
      <c r="AV74" s="134">
        <f t="shared" ref="AV74:AV121" si="155">AU74*(AS74-AT74)</f>
        <v>0</v>
      </c>
      <c r="AW74" s="132">
        <v>0</v>
      </c>
      <c r="AX74" s="133">
        <f t="shared" ref="AX74:AX121" si="156">AU74-AW74</f>
        <v>0</v>
      </c>
      <c r="AY74" s="134">
        <f>(AU74-AX74)*AT74</f>
        <v>0</v>
      </c>
      <c r="AZ74" s="134">
        <f t="shared" ref="AZ74:AZ121" si="157">IF(SUM(AN74+AC74+Y74+U74+Q74+M74+I74)=0,0,J74+N74+R74+V74+Z74+AD74+AG74+AK74+AO74+AW74)</f>
        <v>96.626426869710784</v>
      </c>
      <c r="BA74" s="134">
        <f t="shared" ref="BA74:BA85" si="158">IF(SUM(AQ74+AE74+AA74+W74+S74+O74+K74)=0,0,H74+L74+P74+T74+X74+AB74+AF74+AJ74+AN74+AR74+AV74+AY74-$G$11)</f>
        <v>139.54641921561205</v>
      </c>
      <c r="BB74" s="220">
        <f t="shared" ref="BB74:BB121" si="159">IF(BA74-AZ74&gt;0,BA74-AZ74,0)</f>
        <v>42.919992345901264</v>
      </c>
      <c r="BC74" s="238">
        <v>0.6</v>
      </c>
      <c r="BD74" s="136">
        <f>0.4*BC74*BE90</f>
        <v>1.2E-2</v>
      </c>
      <c r="BF74" s="13"/>
    </row>
    <row r="75" spans="1:58" s="239" customFormat="1" ht="14.25" x14ac:dyDescent="0.25">
      <c r="A75" s="277"/>
      <c r="B75" s="240"/>
      <c r="C75" s="278"/>
      <c r="D75" s="140" t="str">
        <f t="shared" si="135"/>
        <v>nein</v>
      </c>
      <c r="E75" s="141"/>
      <c r="F75" s="142">
        <v>0</v>
      </c>
      <c r="G75" s="143">
        <v>0</v>
      </c>
      <c r="H75" s="153">
        <f t="shared" si="136"/>
        <v>0</v>
      </c>
      <c r="I75" s="145">
        <v>0</v>
      </c>
      <c r="J75" s="153">
        <f t="shared" si="137"/>
        <v>0</v>
      </c>
      <c r="K75" s="147"/>
      <c r="L75" s="153">
        <f t="shared" si="138"/>
        <v>0</v>
      </c>
      <c r="M75" s="145">
        <v>1</v>
      </c>
      <c r="N75" s="153">
        <f t="shared" si="139"/>
        <v>48.635000000000005</v>
      </c>
      <c r="O75" s="147">
        <v>2</v>
      </c>
      <c r="P75" s="153">
        <f t="shared" si="140"/>
        <v>97.27000000000001</v>
      </c>
      <c r="Q75" s="145">
        <v>0.5</v>
      </c>
      <c r="R75" s="153">
        <f t="shared" si="141"/>
        <v>23.245784012567928</v>
      </c>
      <c r="S75" s="147">
        <v>1.3</v>
      </c>
      <c r="T75" s="153">
        <f t="shared" si="142"/>
        <v>60.439038432676611</v>
      </c>
      <c r="U75" s="145"/>
      <c r="V75" s="153">
        <f t="shared" si="143"/>
        <v>0</v>
      </c>
      <c r="W75" s="147"/>
      <c r="X75" s="153">
        <f t="shared" si="144"/>
        <v>0</v>
      </c>
      <c r="Y75" s="145">
        <v>0.5</v>
      </c>
      <c r="Z75" s="153">
        <f t="shared" si="145"/>
        <v>26.410238095238096</v>
      </c>
      <c r="AA75" s="147">
        <v>1</v>
      </c>
      <c r="AB75" s="153">
        <f t="shared" si="146"/>
        <v>52.820476190476192</v>
      </c>
      <c r="AC75" s="145"/>
      <c r="AD75" s="153">
        <f t="shared" si="147"/>
        <v>0</v>
      </c>
      <c r="AE75" s="147"/>
      <c r="AF75" s="153">
        <f t="shared" si="148"/>
        <v>0</v>
      </c>
      <c r="AG75" s="145"/>
      <c r="AH75" s="153">
        <f t="shared" si="149"/>
        <v>0</v>
      </c>
      <c r="AI75" s="147"/>
      <c r="AJ75" s="153">
        <f t="shared" si="150"/>
        <v>0</v>
      </c>
      <c r="AK75" s="145"/>
      <c r="AL75" s="153">
        <f t="shared" si="151"/>
        <v>0</v>
      </c>
      <c r="AM75" s="147"/>
      <c r="AN75" s="153">
        <f t="shared" si="152"/>
        <v>0</v>
      </c>
      <c r="AO75" s="145"/>
      <c r="AP75" s="153">
        <f t="shared" si="153"/>
        <v>0</v>
      </c>
      <c r="AQ75" s="147"/>
      <c r="AR75" s="153">
        <f t="shared" si="154"/>
        <v>0</v>
      </c>
      <c r="AS75" s="148">
        <f>AS74</f>
        <v>0</v>
      </c>
      <c r="AT75" s="149">
        <f t="shared" ref="AT75" si="160">AS75*0.9</f>
        <v>0</v>
      </c>
      <c r="AU75" s="150">
        <f>AU74</f>
        <v>0</v>
      </c>
      <c r="AV75" s="153">
        <f t="shared" si="155"/>
        <v>0</v>
      </c>
      <c r="AW75" s="151">
        <f>AW74</f>
        <v>0</v>
      </c>
      <c r="AX75" s="152">
        <f t="shared" si="156"/>
        <v>0</v>
      </c>
      <c r="AY75" s="153">
        <f t="shared" ref="AY75" si="161">(AU75-AX75)*AT75</f>
        <v>0</v>
      </c>
      <c r="AZ75" s="153">
        <f t="shared" si="157"/>
        <v>98.291022107806029</v>
      </c>
      <c r="BA75" s="153">
        <f t="shared" si="158"/>
        <v>160.8398896231528</v>
      </c>
      <c r="BB75" s="153">
        <f t="shared" si="159"/>
        <v>62.548867515346771</v>
      </c>
      <c r="BC75" s="241">
        <v>0.4</v>
      </c>
      <c r="BD75" s="155">
        <f>0.4*BC75*BE90</f>
        <v>8.0000000000000019E-3</v>
      </c>
      <c r="BE75" s="13"/>
      <c r="BF75" s="13"/>
    </row>
    <row r="76" spans="1:58" ht="14.25" x14ac:dyDescent="0.25">
      <c r="A76" s="277"/>
      <c r="B76" s="240"/>
      <c r="C76" s="279" t="s">
        <v>63</v>
      </c>
      <c r="D76" s="252" t="str">
        <f t="shared" si="135"/>
        <v>ja</v>
      </c>
      <c r="E76" s="253"/>
      <c r="F76" s="254">
        <v>0</v>
      </c>
      <c r="G76" s="255">
        <v>0</v>
      </c>
      <c r="H76" s="165">
        <f t="shared" si="136"/>
        <v>0</v>
      </c>
      <c r="I76" s="257">
        <v>0.6</v>
      </c>
      <c r="J76" s="165">
        <f t="shared" si="137"/>
        <v>82.577999999999989</v>
      </c>
      <c r="K76" s="280">
        <v>0.8</v>
      </c>
      <c r="L76" s="165">
        <f t="shared" si="138"/>
        <v>110.104</v>
      </c>
      <c r="M76" s="257">
        <v>0.4</v>
      </c>
      <c r="N76" s="165">
        <f t="shared" si="139"/>
        <v>19.454000000000004</v>
      </c>
      <c r="O76" s="280">
        <v>1.5</v>
      </c>
      <c r="P76" s="165">
        <f t="shared" si="140"/>
        <v>72.952500000000015</v>
      </c>
      <c r="Q76" s="257">
        <v>1</v>
      </c>
      <c r="R76" s="165">
        <f t="shared" si="141"/>
        <v>46.491568025135855</v>
      </c>
      <c r="S76" s="280">
        <v>1.5</v>
      </c>
      <c r="T76" s="165">
        <f t="shared" si="142"/>
        <v>69.737352037703786</v>
      </c>
      <c r="U76" s="257"/>
      <c r="V76" s="165">
        <f t="shared" si="143"/>
        <v>0</v>
      </c>
      <c r="W76" s="280"/>
      <c r="X76" s="165">
        <f t="shared" si="144"/>
        <v>0</v>
      </c>
      <c r="Y76" s="257">
        <v>1.3</v>
      </c>
      <c r="Z76" s="165">
        <f t="shared" si="145"/>
        <v>68.666619047619051</v>
      </c>
      <c r="AA76" s="280">
        <v>2</v>
      </c>
      <c r="AB76" s="165">
        <f t="shared" si="146"/>
        <v>105.64095238095238</v>
      </c>
      <c r="AC76" s="257"/>
      <c r="AD76" s="165">
        <f t="shared" si="147"/>
        <v>0</v>
      </c>
      <c r="AE76" s="280"/>
      <c r="AF76" s="165">
        <f t="shared" si="148"/>
        <v>0</v>
      </c>
      <c r="AG76" s="257"/>
      <c r="AH76" s="165">
        <f t="shared" si="149"/>
        <v>0</v>
      </c>
      <c r="AI76" s="280"/>
      <c r="AJ76" s="165">
        <f t="shared" si="150"/>
        <v>0</v>
      </c>
      <c r="AK76" s="257"/>
      <c r="AL76" s="165">
        <f t="shared" si="151"/>
        <v>0</v>
      </c>
      <c r="AM76" s="280"/>
      <c r="AN76" s="165">
        <f t="shared" si="152"/>
        <v>0</v>
      </c>
      <c r="AO76" s="257"/>
      <c r="AP76" s="165">
        <f t="shared" si="153"/>
        <v>0</v>
      </c>
      <c r="AQ76" s="280"/>
      <c r="AR76" s="165">
        <f t="shared" si="154"/>
        <v>0</v>
      </c>
      <c r="AS76" s="259">
        <v>0</v>
      </c>
      <c r="AT76" s="260">
        <f>AS76*0.9</f>
        <v>0</v>
      </c>
      <c r="AU76" s="261">
        <f>AU89</f>
        <v>0</v>
      </c>
      <c r="AV76" s="165">
        <f t="shared" si="155"/>
        <v>0</v>
      </c>
      <c r="AW76" s="262">
        <v>0</v>
      </c>
      <c r="AX76" s="170">
        <f t="shared" si="156"/>
        <v>0</v>
      </c>
      <c r="AY76" s="165">
        <f>(AU76-AX76)*AT76</f>
        <v>0</v>
      </c>
      <c r="AZ76" s="165">
        <f t="shared" si="157"/>
        <v>217.1901870727549</v>
      </c>
      <c r="BA76" s="165">
        <f t="shared" si="158"/>
        <v>308.74517941865622</v>
      </c>
      <c r="BB76" s="222">
        <f t="shared" si="159"/>
        <v>91.554992345901326</v>
      </c>
      <c r="BC76" s="264">
        <v>0.7</v>
      </c>
      <c r="BD76" s="265">
        <f>0.75*BC76*BE92</f>
        <v>0.10499999999999998</v>
      </c>
    </row>
    <row r="77" spans="1:58" ht="14.25" x14ac:dyDescent="0.25">
      <c r="A77" s="277"/>
      <c r="B77" s="240"/>
      <c r="C77" s="278"/>
      <c r="D77" s="140" t="str">
        <f t="shared" si="135"/>
        <v>nein</v>
      </c>
      <c r="E77" s="141"/>
      <c r="F77" s="142">
        <v>0</v>
      </c>
      <c r="G77" s="143">
        <v>0</v>
      </c>
      <c r="H77" s="144">
        <f t="shared" si="136"/>
        <v>0</v>
      </c>
      <c r="I77" s="145"/>
      <c r="J77" s="144">
        <f t="shared" si="137"/>
        <v>0</v>
      </c>
      <c r="K77" s="147"/>
      <c r="L77" s="144">
        <f t="shared" si="138"/>
        <v>0</v>
      </c>
      <c r="M77" s="145">
        <v>1</v>
      </c>
      <c r="N77" s="144">
        <f t="shared" si="139"/>
        <v>48.635000000000005</v>
      </c>
      <c r="O77" s="147">
        <v>2.5</v>
      </c>
      <c r="P77" s="144">
        <f t="shared" si="140"/>
        <v>121.58750000000001</v>
      </c>
      <c r="Q77" s="145">
        <v>1</v>
      </c>
      <c r="R77" s="144">
        <f t="shared" si="141"/>
        <v>46.491568025135855</v>
      </c>
      <c r="S77" s="147">
        <v>1.5</v>
      </c>
      <c r="T77" s="144">
        <f t="shared" si="142"/>
        <v>69.737352037703786</v>
      </c>
      <c r="U77" s="145"/>
      <c r="V77" s="144">
        <f t="shared" si="143"/>
        <v>0</v>
      </c>
      <c r="W77" s="147"/>
      <c r="X77" s="144">
        <f t="shared" si="144"/>
        <v>0</v>
      </c>
      <c r="Y77" s="145">
        <v>1.5</v>
      </c>
      <c r="Z77" s="144">
        <f t="shared" si="145"/>
        <v>79.230714285714285</v>
      </c>
      <c r="AA77" s="147">
        <v>2</v>
      </c>
      <c r="AB77" s="144">
        <f t="shared" si="146"/>
        <v>105.64095238095238</v>
      </c>
      <c r="AC77" s="145"/>
      <c r="AD77" s="144">
        <f t="shared" si="147"/>
        <v>0</v>
      </c>
      <c r="AE77" s="147"/>
      <c r="AF77" s="144">
        <f t="shared" si="148"/>
        <v>0</v>
      </c>
      <c r="AG77" s="145"/>
      <c r="AH77" s="144">
        <f t="shared" si="149"/>
        <v>0</v>
      </c>
      <c r="AI77" s="147"/>
      <c r="AJ77" s="144">
        <f t="shared" si="150"/>
        <v>0</v>
      </c>
      <c r="AK77" s="145"/>
      <c r="AL77" s="144">
        <f t="shared" si="151"/>
        <v>0</v>
      </c>
      <c r="AM77" s="147"/>
      <c r="AN77" s="144">
        <f t="shared" si="152"/>
        <v>0</v>
      </c>
      <c r="AO77" s="145"/>
      <c r="AP77" s="144">
        <f t="shared" si="153"/>
        <v>0</v>
      </c>
      <c r="AQ77" s="147"/>
      <c r="AR77" s="144">
        <f t="shared" si="154"/>
        <v>0</v>
      </c>
      <c r="AS77" s="148">
        <f>AS76</f>
        <v>0</v>
      </c>
      <c r="AT77" s="149">
        <f t="shared" ref="AT77" si="162">AS77*0.9</f>
        <v>0</v>
      </c>
      <c r="AU77" s="150">
        <f>AU76</f>
        <v>0</v>
      </c>
      <c r="AV77" s="144">
        <f t="shared" si="155"/>
        <v>0</v>
      </c>
      <c r="AW77" s="151">
        <f>AW76</f>
        <v>0</v>
      </c>
      <c r="AX77" s="152">
        <f t="shared" si="156"/>
        <v>0</v>
      </c>
      <c r="AY77" s="144">
        <f t="shared" ref="AY77" si="163">(AU77-AX77)*AT77</f>
        <v>0</v>
      </c>
      <c r="AZ77" s="144">
        <f t="shared" si="157"/>
        <v>174.35728231085017</v>
      </c>
      <c r="BA77" s="144">
        <f t="shared" si="158"/>
        <v>247.2761794186562</v>
      </c>
      <c r="BB77" s="153">
        <f t="shared" si="159"/>
        <v>72.918897107806032</v>
      </c>
      <c r="BC77" s="241">
        <v>0.3</v>
      </c>
      <c r="BD77" s="155">
        <f>0.75*BC77*BE92</f>
        <v>4.4999999999999998E-2</v>
      </c>
    </row>
    <row r="78" spans="1:58" ht="14.25" x14ac:dyDescent="0.25">
      <c r="A78" s="277"/>
      <c r="B78" s="240"/>
      <c r="C78" s="244" t="s">
        <v>65</v>
      </c>
      <c r="D78" s="252" t="str">
        <f t="shared" si="135"/>
        <v>ja</v>
      </c>
      <c r="E78" s="253"/>
      <c r="F78" s="254">
        <v>0</v>
      </c>
      <c r="G78" s="255">
        <v>0</v>
      </c>
      <c r="H78" s="165">
        <f t="shared" si="136"/>
        <v>0</v>
      </c>
      <c r="I78" s="257">
        <v>0.7</v>
      </c>
      <c r="J78" s="165">
        <f t="shared" si="137"/>
        <v>96.340999999999994</v>
      </c>
      <c r="K78" s="280">
        <v>0.9</v>
      </c>
      <c r="L78" s="165">
        <f t="shared" si="138"/>
        <v>123.867</v>
      </c>
      <c r="M78" s="257">
        <v>0.3</v>
      </c>
      <c r="N78" s="165">
        <f t="shared" si="139"/>
        <v>14.5905</v>
      </c>
      <c r="O78" s="280">
        <v>1.5</v>
      </c>
      <c r="P78" s="165">
        <f t="shared" si="140"/>
        <v>72.952500000000015</v>
      </c>
      <c r="Q78" s="257">
        <v>1</v>
      </c>
      <c r="R78" s="165">
        <f t="shared" si="141"/>
        <v>46.491568025135855</v>
      </c>
      <c r="S78" s="280">
        <v>1</v>
      </c>
      <c r="T78" s="165">
        <f t="shared" si="142"/>
        <v>46.491568025135855</v>
      </c>
      <c r="U78" s="257"/>
      <c r="V78" s="165">
        <f t="shared" si="143"/>
        <v>0</v>
      </c>
      <c r="W78" s="280"/>
      <c r="X78" s="165">
        <f t="shared" si="144"/>
        <v>0</v>
      </c>
      <c r="Y78" s="257">
        <v>0.3</v>
      </c>
      <c r="Z78" s="165">
        <f t="shared" si="145"/>
        <v>15.846142857142857</v>
      </c>
      <c r="AA78" s="280">
        <v>1</v>
      </c>
      <c r="AB78" s="165">
        <f t="shared" si="146"/>
        <v>52.820476190476192</v>
      </c>
      <c r="AC78" s="257"/>
      <c r="AD78" s="165">
        <f t="shared" si="147"/>
        <v>0</v>
      </c>
      <c r="AE78" s="280"/>
      <c r="AF78" s="165">
        <f t="shared" si="148"/>
        <v>0</v>
      </c>
      <c r="AG78" s="257"/>
      <c r="AH78" s="165">
        <f t="shared" si="149"/>
        <v>0</v>
      </c>
      <c r="AI78" s="280"/>
      <c r="AJ78" s="165">
        <f t="shared" si="150"/>
        <v>0</v>
      </c>
      <c r="AK78" s="257"/>
      <c r="AL78" s="165">
        <f t="shared" si="151"/>
        <v>0</v>
      </c>
      <c r="AM78" s="280"/>
      <c r="AN78" s="165">
        <f t="shared" si="152"/>
        <v>0</v>
      </c>
      <c r="AO78" s="257"/>
      <c r="AP78" s="165">
        <f t="shared" si="153"/>
        <v>0</v>
      </c>
      <c r="AQ78" s="280"/>
      <c r="AR78" s="165">
        <f t="shared" si="154"/>
        <v>0</v>
      </c>
      <c r="AS78" s="259">
        <v>0</v>
      </c>
      <c r="AT78" s="260">
        <f>AS78*0.9</f>
        <v>0</v>
      </c>
      <c r="AU78" s="261">
        <f>AU91</f>
        <v>0</v>
      </c>
      <c r="AV78" s="165">
        <f t="shared" si="155"/>
        <v>0</v>
      </c>
      <c r="AW78" s="262">
        <v>0</v>
      </c>
      <c r="AX78" s="170">
        <f t="shared" si="156"/>
        <v>0</v>
      </c>
      <c r="AY78" s="165">
        <f>(AU78-AX78)*AT78</f>
        <v>0</v>
      </c>
      <c r="AZ78" s="165">
        <f t="shared" si="157"/>
        <v>173.26921088227871</v>
      </c>
      <c r="BA78" s="165">
        <f t="shared" si="158"/>
        <v>246.44191921561205</v>
      </c>
      <c r="BB78" s="222">
        <f t="shared" si="159"/>
        <v>73.172708333333333</v>
      </c>
      <c r="BC78" s="264">
        <v>0.6</v>
      </c>
      <c r="BD78" s="265">
        <f>0.66667*BC78*BE94</f>
        <v>2.00001E-2</v>
      </c>
    </row>
    <row r="79" spans="1:58" ht="14.25" x14ac:dyDescent="0.25">
      <c r="A79" s="277"/>
      <c r="B79" s="240"/>
      <c r="C79" s="245"/>
      <c r="D79" s="140" t="str">
        <f t="shared" si="135"/>
        <v>nein</v>
      </c>
      <c r="E79" s="141"/>
      <c r="F79" s="142">
        <v>0</v>
      </c>
      <c r="G79" s="143">
        <v>0</v>
      </c>
      <c r="H79" s="144">
        <f t="shared" si="136"/>
        <v>0</v>
      </c>
      <c r="I79" s="145"/>
      <c r="J79" s="144">
        <f t="shared" si="137"/>
        <v>0</v>
      </c>
      <c r="K79" s="147"/>
      <c r="L79" s="144">
        <f t="shared" si="138"/>
        <v>0</v>
      </c>
      <c r="M79" s="145">
        <v>1</v>
      </c>
      <c r="N79" s="144">
        <f t="shared" si="139"/>
        <v>48.635000000000005</v>
      </c>
      <c r="O79" s="147">
        <v>2.5</v>
      </c>
      <c r="P79" s="144">
        <f t="shared" si="140"/>
        <v>121.58750000000001</v>
      </c>
      <c r="Q79" s="145">
        <v>1</v>
      </c>
      <c r="R79" s="144">
        <f t="shared" si="141"/>
        <v>46.491568025135855</v>
      </c>
      <c r="S79" s="147">
        <v>1.5</v>
      </c>
      <c r="T79" s="144">
        <f t="shared" si="142"/>
        <v>69.737352037703786</v>
      </c>
      <c r="U79" s="145"/>
      <c r="V79" s="144">
        <f t="shared" si="143"/>
        <v>0</v>
      </c>
      <c r="W79" s="147"/>
      <c r="X79" s="144">
        <f t="shared" si="144"/>
        <v>0</v>
      </c>
      <c r="Y79" s="145">
        <v>0.5</v>
      </c>
      <c r="Z79" s="144">
        <f t="shared" si="145"/>
        <v>26.410238095238096</v>
      </c>
      <c r="AA79" s="147">
        <v>1</v>
      </c>
      <c r="AB79" s="144">
        <f t="shared" si="146"/>
        <v>52.820476190476192</v>
      </c>
      <c r="AC79" s="145"/>
      <c r="AD79" s="144">
        <f t="shared" si="147"/>
        <v>0</v>
      </c>
      <c r="AE79" s="147"/>
      <c r="AF79" s="144">
        <f t="shared" si="148"/>
        <v>0</v>
      </c>
      <c r="AG79" s="145"/>
      <c r="AH79" s="144">
        <f t="shared" si="149"/>
        <v>0</v>
      </c>
      <c r="AI79" s="147"/>
      <c r="AJ79" s="144">
        <f t="shared" si="150"/>
        <v>0</v>
      </c>
      <c r="AK79" s="145"/>
      <c r="AL79" s="144">
        <f t="shared" si="151"/>
        <v>0</v>
      </c>
      <c r="AM79" s="147"/>
      <c r="AN79" s="144">
        <f t="shared" si="152"/>
        <v>0</v>
      </c>
      <c r="AO79" s="145"/>
      <c r="AP79" s="144">
        <f t="shared" si="153"/>
        <v>0</v>
      </c>
      <c r="AQ79" s="147"/>
      <c r="AR79" s="144">
        <f t="shared" si="154"/>
        <v>0</v>
      </c>
      <c r="AS79" s="148">
        <f>AS78</f>
        <v>0</v>
      </c>
      <c r="AT79" s="149">
        <f t="shared" ref="AT79" si="164">AS79*0.9</f>
        <v>0</v>
      </c>
      <c r="AU79" s="150">
        <f>AU78</f>
        <v>0</v>
      </c>
      <c r="AV79" s="144">
        <f t="shared" si="155"/>
        <v>0</v>
      </c>
      <c r="AW79" s="151">
        <f>AW78</f>
        <v>0</v>
      </c>
      <c r="AX79" s="152">
        <f t="shared" si="156"/>
        <v>0</v>
      </c>
      <c r="AY79" s="144">
        <f t="shared" ref="AY79" si="165">(AU79-AX79)*AT79</f>
        <v>0</v>
      </c>
      <c r="AZ79" s="144">
        <f t="shared" si="157"/>
        <v>121.53680612037397</v>
      </c>
      <c r="BA79" s="144">
        <f t="shared" si="158"/>
        <v>194.45570322818</v>
      </c>
      <c r="BB79" s="153">
        <f t="shared" si="159"/>
        <v>72.918897107806032</v>
      </c>
      <c r="BC79" s="241">
        <v>0.4</v>
      </c>
      <c r="BD79" s="155">
        <f>0.66667*BC79*BE94</f>
        <v>1.3333400000000002E-2</v>
      </c>
    </row>
    <row r="80" spans="1:58" s="2" customFormat="1" ht="15.75" x14ac:dyDescent="0.25">
      <c r="A80" s="277"/>
      <c r="B80" s="240"/>
      <c r="C80" s="246" t="s">
        <v>66</v>
      </c>
      <c r="D80" s="252" t="str">
        <f t="shared" si="135"/>
        <v>ja</v>
      </c>
      <c r="E80" s="253"/>
      <c r="F80" s="254">
        <v>0</v>
      </c>
      <c r="G80" s="255">
        <v>0</v>
      </c>
      <c r="H80" s="165">
        <f t="shared" si="136"/>
        <v>0</v>
      </c>
      <c r="I80" s="257">
        <v>0.7</v>
      </c>
      <c r="J80" s="165">
        <f t="shared" si="137"/>
        <v>96.340999999999994</v>
      </c>
      <c r="K80" s="280">
        <v>0.9</v>
      </c>
      <c r="L80" s="165">
        <f t="shared" si="138"/>
        <v>123.867</v>
      </c>
      <c r="M80" s="257">
        <v>0.3</v>
      </c>
      <c r="N80" s="165">
        <f t="shared" si="139"/>
        <v>14.5905</v>
      </c>
      <c r="O80" s="280">
        <v>1.5</v>
      </c>
      <c r="P80" s="165">
        <f t="shared" si="140"/>
        <v>72.952500000000015</v>
      </c>
      <c r="Q80" s="257">
        <v>1</v>
      </c>
      <c r="R80" s="165">
        <f t="shared" si="141"/>
        <v>46.491568025135855</v>
      </c>
      <c r="S80" s="280">
        <v>1</v>
      </c>
      <c r="T80" s="165">
        <f t="shared" si="142"/>
        <v>46.491568025135855</v>
      </c>
      <c r="U80" s="257"/>
      <c r="V80" s="165">
        <f t="shared" si="143"/>
        <v>0</v>
      </c>
      <c r="W80" s="280"/>
      <c r="X80" s="165">
        <f t="shared" si="144"/>
        <v>0</v>
      </c>
      <c r="Y80" s="257">
        <v>0.3</v>
      </c>
      <c r="Z80" s="165">
        <f t="shared" si="145"/>
        <v>15.846142857142857</v>
      </c>
      <c r="AA80" s="280">
        <v>1</v>
      </c>
      <c r="AB80" s="165">
        <f t="shared" si="146"/>
        <v>52.820476190476192</v>
      </c>
      <c r="AC80" s="257"/>
      <c r="AD80" s="165">
        <f t="shared" si="147"/>
        <v>0</v>
      </c>
      <c r="AE80" s="280"/>
      <c r="AF80" s="165">
        <f t="shared" si="148"/>
        <v>0</v>
      </c>
      <c r="AG80" s="257"/>
      <c r="AH80" s="165">
        <f t="shared" si="149"/>
        <v>0</v>
      </c>
      <c r="AI80" s="280"/>
      <c r="AJ80" s="165">
        <f t="shared" si="150"/>
        <v>0</v>
      </c>
      <c r="AK80" s="257"/>
      <c r="AL80" s="165">
        <f t="shared" si="151"/>
        <v>0</v>
      </c>
      <c r="AM80" s="280"/>
      <c r="AN80" s="165">
        <f t="shared" si="152"/>
        <v>0</v>
      </c>
      <c r="AO80" s="257"/>
      <c r="AP80" s="165">
        <f t="shared" si="153"/>
        <v>0</v>
      </c>
      <c r="AQ80" s="280"/>
      <c r="AR80" s="165">
        <f t="shared" si="154"/>
        <v>0</v>
      </c>
      <c r="AS80" s="259">
        <v>0</v>
      </c>
      <c r="AT80" s="260">
        <f>AS80*0.9</f>
        <v>0</v>
      </c>
      <c r="AU80" s="261">
        <f>AU78</f>
        <v>0</v>
      </c>
      <c r="AV80" s="165">
        <f t="shared" si="155"/>
        <v>0</v>
      </c>
      <c r="AW80" s="262">
        <v>0</v>
      </c>
      <c r="AX80" s="170">
        <f t="shared" si="156"/>
        <v>0</v>
      </c>
      <c r="AY80" s="165">
        <f>(AU80-AX80)*AT80</f>
        <v>0</v>
      </c>
      <c r="AZ80" s="165">
        <f t="shared" si="157"/>
        <v>173.26921088227871</v>
      </c>
      <c r="BA80" s="165">
        <f t="shared" si="158"/>
        <v>246.44191921561205</v>
      </c>
      <c r="BB80" s="222">
        <f t="shared" si="159"/>
        <v>73.172708333333333</v>
      </c>
      <c r="BC80" s="264">
        <v>0.6</v>
      </c>
      <c r="BD80" s="265">
        <f>0.7*BC80*BE96</f>
        <v>4.2000000000000003E-2</v>
      </c>
      <c r="BE80" s="247"/>
      <c r="BF80" s="247"/>
    </row>
    <row r="81" spans="1:58" s="2" customFormat="1" ht="15.75" x14ac:dyDescent="0.25">
      <c r="A81" s="277"/>
      <c r="B81" s="240"/>
      <c r="C81" s="249"/>
      <c r="D81" s="140" t="str">
        <f t="shared" si="135"/>
        <v>nein</v>
      </c>
      <c r="E81" s="141"/>
      <c r="F81" s="142">
        <v>0</v>
      </c>
      <c r="G81" s="143">
        <v>0</v>
      </c>
      <c r="H81" s="144">
        <f t="shared" si="136"/>
        <v>0</v>
      </c>
      <c r="I81" s="145"/>
      <c r="J81" s="144">
        <f t="shared" si="137"/>
        <v>0</v>
      </c>
      <c r="K81" s="147"/>
      <c r="L81" s="144">
        <f t="shared" si="138"/>
        <v>0</v>
      </c>
      <c r="M81" s="145">
        <v>1</v>
      </c>
      <c r="N81" s="144">
        <f t="shared" si="139"/>
        <v>48.635000000000005</v>
      </c>
      <c r="O81" s="147">
        <v>2.5</v>
      </c>
      <c r="P81" s="144">
        <f t="shared" si="140"/>
        <v>121.58750000000001</v>
      </c>
      <c r="Q81" s="145">
        <v>1</v>
      </c>
      <c r="R81" s="144">
        <f t="shared" si="141"/>
        <v>46.491568025135855</v>
      </c>
      <c r="S81" s="147">
        <v>1.5</v>
      </c>
      <c r="T81" s="144">
        <f t="shared" si="142"/>
        <v>69.737352037703786</v>
      </c>
      <c r="U81" s="145"/>
      <c r="V81" s="144">
        <f t="shared" si="143"/>
        <v>0</v>
      </c>
      <c r="W81" s="147"/>
      <c r="X81" s="144">
        <f t="shared" si="144"/>
        <v>0</v>
      </c>
      <c r="Y81" s="145">
        <v>0.5</v>
      </c>
      <c r="Z81" s="144">
        <f t="shared" si="145"/>
        <v>26.410238095238096</v>
      </c>
      <c r="AA81" s="147">
        <v>1</v>
      </c>
      <c r="AB81" s="144">
        <f t="shared" si="146"/>
        <v>52.820476190476192</v>
      </c>
      <c r="AC81" s="145"/>
      <c r="AD81" s="144">
        <f t="shared" si="147"/>
        <v>0</v>
      </c>
      <c r="AE81" s="147"/>
      <c r="AF81" s="144">
        <f t="shared" si="148"/>
        <v>0</v>
      </c>
      <c r="AG81" s="145"/>
      <c r="AH81" s="144">
        <f t="shared" si="149"/>
        <v>0</v>
      </c>
      <c r="AI81" s="147"/>
      <c r="AJ81" s="144">
        <f t="shared" si="150"/>
        <v>0</v>
      </c>
      <c r="AK81" s="145"/>
      <c r="AL81" s="144">
        <f t="shared" si="151"/>
        <v>0</v>
      </c>
      <c r="AM81" s="147"/>
      <c r="AN81" s="144">
        <f t="shared" si="152"/>
        <v>0</v>
      </c>
      <c r="AO81" s="145"/>
      <c r="AP81" s="144">
        <f t="shared" si="153"/>
        <v>0</v>
      </c>
      <c r="AQ81" s="147"/>
      <c r="AR81" s="144">
        <f t="shared" si="154"/>
        <v>0</v>
      </c>
      <c r="AS81" s="148">
        <f>AS80</f>
        <v>0</v>
      </c>
      <c r="AT81" s="149">
        <f t="shared" ref="AT81" si="166">AS81*0.9</f>
        <v>0</v>
      </c>
      <c r="AU81" s="150">
        <f>AU80</f>
        <v>0</v>
      </c>
      <c r="AV81" s="144">
        <f t="shared" si="155"/>
        <v>0</v>
      </c>
      <c r="AW81" s="151">
        <f>AW80</f>
        <v>0</v>
      </c>
      <c r="AX81" s="152">
        <f t="shared" si="156"/>
        <v>0</v>
      </c>
      <c r="AY81" s="144">
        <f t="shared" ref="AY81" si="167">(AU81-AX81)*AT81</f>
        <v>0</v>
      </c>
      <c r="AZ81" s="144">
        <f t="shared" si="157"/>
        <v>121.53680612037397</v>
      </c>
      <c r="BA81" s="144">
        <f t="shared" si="158"/>
        <v>194.45570322818</v>
      </c>
      <c r="BB81" s="153">
        <f t="shared" si="159"/>
        <v>72.918897107806032</v>
      </c>
      <c r="BC81" s="241">
        <v>0.4</v>
      </c>
      <c r="BD81" s="155">
        <f>0.7*BC81*BE96</f>
        <v>2.7999999999999997E-2</v>
      </c>
      <c r="BE81" s="247"/>
      <c r="BF81" s="247"/>
    </row>
    <row r="82" spans="1:58" ht="14.25" x14ac:dyDescent="0.25">
      <c r="A82" s="277"/>
      <c r="B82" s="240"/>
      <c r="C82" s="250" t="s">
        <v>67</v>
      </c>
      <c r="D82" s="252" t="str">
        <f t="shared" si="135"/>
        <v>ja</v>
      </c>
      <c r="E82" s="253" t="s">
        <v>73</v>
      </c>
      <c r="F82" s="281">
        <v>0.5</v>
      </c>
      <c r="G82" s="282">
        <v>25</v>
      </c>
      <c r="H82" s="165">
        <f t="shared" si="136"/>
        <v>26.445</v>
      </c>
      <c r="I82" s="257">
        <v>0.3</v>
      </c>
      <c r="J82" s="165">
        <f t="shared" si="137"/>
        <v>41.288999999999994</v>
      </c>
      <c r="K82" s="280">
        <v>0.5</v>
      </c>
      <c r="L82" s="165">
        <f t="shared" si="138"/>
        <v>68.814999999999998</v>
      </c>
      <c r="M82" s="257">
        <v>0.7</v>
      </c>
      <c r="N82" s="165">
        <f t="shared" si="139"/>
        <v>34.044499999999999</v>
      </c>
      <c r="O82" s="280">
        <v>1</v>
      </c>
      <c r="P82" s="165">
        <f t="shared" si="140"/>
        <v>48.635000000000005</v>
      </c>
      <c r="Q82" s="257">
        <v>1</v>
      </c>
      <c r="R82" s="165">
        <f t="shared" si="141"/>
        <v>46.491568025135855</v>
      </c>
      <c r="S82" s="280">
        <v>1.5</v>
      </c>
      <c r="T82" s="165">
        <f t="shared" si="142"/>
        <v>69.737352037703786</v>
      </c>
      <c r="U82" s="257"/>
      <c r="V82" s="165">
        <f t="shared" si="143"/>
        <v>0</v>
      </c>
      <c r="W82" s="280">
        <v>1</v>
      </c>
      <c r="X82" s="165">
        <f t="shared" si="144"/>
        <v>16.315354141656663</v>
      </c>
      <c r="Y82" s="257"/>
      <c r="Z82" s="165">
        <f t="shared" si="145"/>
        <v>0</v>
      </c>
      <c r="AA82" s="280">
        <v>1</v>
      </c>
      <c r="AB82" s="165">
        <f t="shared" si="146"/>
        <v>52.820476190476192</v>
      </c>
      <c r="AC82" s="257"/>
      <c r="AD82" s="165">
        <f t="shared" si="147"/>
        <v>0</v>
      </c>
      <c r="AE82" s="280"/>
      <c r="AF82" s="165">
        <f t="shared" si="148"/>
        <v>0</v>
      </c>
      <c r="AG82" s="257"/>
      <c r="AH82" s="165">
        <f t="shared" si="149"/>
        <v>0</v>
      </c>
      <c r="AI82" s="280"/>
      <c r="AJ82" s="165">
        <f t="shared" si="150"/>
        <v>0</v>
      </c>
      <c r="AK82" s="257"/>
      <c r="AL82" s="165">
        <f t="shared" si="151"/>
        <v>0</v>
      </c>
      <c r="AM82" s="280"/>
      <c r="AN82" s="165">
        <f t="shared" si="152"/>
        <v>0</v>
      </c>
      <c r="AO82" s="257"/>
      <c r="AP82" s="165">
        <f t="shared" si="153"/>
        <v>0</v>
      </c>
      <c r="AQ82" s="280"/>
      <c r="AR82" s="165">
        <f t="shared" si="154"/>
        <v>0</v>
      </c>
      <c r="AS82" s="259">
        <v>0</v>
      </c>
      <c r="AT82" s="260">
        <f>AS82*0.9</f>
        <v>0</v>
      </c>
      <c r="AU82" s="261">
        <f>AU80</f>
        <v>0</v>
      </c>
      <c r="AV82" s="165">
        <f t="shared" si="155"/>
        <v>0</v>
      </c>
      <c r="AW82" s="262">
        <v>0</v>
      </c>
      <c r="AX82" s="170">
        <f t="shared" si="156"/>
        <v>0</v>
      </c>
      <c r="AY82" s="165">
        <f>(AU82-AX82)*AT82</f>
        <v>0</v>
      </c>
      <c r="AZ82" s="165">
        <f t="shared" si="157"/>
        <v>121.82506802513583</v>
      </c>
      <c r="BA82" s="165">
        <f t="shared" si="158"/>
        <v>233.0785573698366</v>
      </c>
      <c r="BB82" s="222">
        <f t="shared" si="159"/>
        <v>111.25348934470077</v>
      </c>
      <c r="BC82" s="264">
        <v>0.6</v>
      </c>
      <c r="BD82" s="265">
        <f>0.5*BC82*BE98</f>
        <v>1.4999999999999999E-2</v>
      </c>
    </row>
    <row r="83" spans="1:58" ht="14.25" x14ac:dyDescent="0.25">
      <c r="A83" s="277"/>
      <c r="B83" s="240"/>
      <c r="C83" s="251"/>
      <c r="D83" s="140" t="str">
        <f t="shared" si="135"/>
        <v>nein</v>
      </c>
      <c r="E83" s="141" t="s">
        <v>73</v>
      </c>
      <c r="F83" s="142">
        <v>1</v>
      </c>
      <c r="G83" s="143">
        <v>25</v>
      </c>
      <c r="H83" s="144">
        <f t="shared" si="136"/>
        <v>38.945</v>
      </c>
      <c r="I83" s="145"/>
      <c r="J83" s="144">
        <f t="shared" si="137"/>
        <v>0</v>
      </c>
      <c r="K83" s="147"/>
      <c r="L83" s="144">
        <f t="shared" si="138"/>
        <v>0</v>
      </c>
      <c r="M83" s="145">
        <v>1</v>
      </c>
      <c r="N83" s="144">
        <f t="shared" si="139"/>
        <v>48.635000000000005</v>
      </c>
      <c r="O83" s="147">
        <v>2</v>
      </c>
      <c r="P83" s="144">
        <f t="shared" si="140"/>
        <v>97.27000000000001</v>
      </c>
      <c r="Q83" s="145">
        <v>1</v>
      </c>
      <c r="R83" s="144">
        <f t="shared" si="141"/>
        <v>46.491568025135855</v>
      </c>
      <c r="S83" s="147">
        <v>2</v>
      </c>
      <c r="T83" s="144">
        <f t="shared" si="142"/>
        <v>92.98313605027171</v>
      </c>
      <c r="U83" s="145"/>
      <c r="V83" s="144">
        <f t="shared" si="143"/>
        <v>0</v>
      </c>
      <c r="W83" s="147">
        <v>1</v>
      </c>
      <c r="X83" s="144">
        <f t="shared" si="144"/>
        <v>16.315354141656663</v>
      </c>
      <c r="Y83" s="145"/>
      <c r="Z83" s="144">
        <f t="shared" si="145"/>
        <v>0</v>
      </c>
      <c r="AA83" s="147"/>
      <c r="AB83" s="144">
        <f t="shared" si="146"/>
        <v>0</v>
      </c>
      <c r="AC83" s="145"/>
      <c r="AD83" s="144">
        <f t="shared" si="147"/>
        <v>0</v>
      </c>
      <c r="AE83" s="147"/>
      <c r="AF83" s="144">
        <f t="shared" si="148"/>
        <v>0</v>
      </c>
      <c r="AG83" s="145"/>
      <c r="AH83" s="144">
        <f t="shared" si="149"/>
        <v>0</v>
      </c>
      <c r="AI83" s="147"/>
      <c r="AJ83" s="144">
        <f t="shared" si="150"/>
        <v>0</v>
      </c>
      <c r="AK83" s="145"/>
      <c r="AL83" s="144">
        <f t="shared" si="151"/>
        <v>0</v>
      </c>
      <c r="AM83" s="147"/>
      <c r="AN83" s="144">
        <f t="shared" si="152"/>
        <v>0</v>
      </c>
      <c r="AO83" s="145"/>
      <c r="AP83" s="144">
        <f t="shared" si="153"/>
        <v>0</v>
      </c>
      <c r="AQ83" s="147"/>
      <c r="AR83" s="144">
        <f t="shared" si="154"/>
        <v>0</v>
      </c>
      <c r="AS83" s="148">
        <f>AS82</f>
        <v>0</v>
      </c>
      <c r="AT83" s="149">
        <f t="shared" ref="AT83" si="168">AS83*0.9</f>
        <v>0</v>
      </c>
      <c r="AU83" s="150">
        <f>AU82</f>
        <v>0</v>
      </c>
      <c r="AV83" s="144">
        <f t="shared" si="155"/>
        <v>0</v>
      </c>
      <c r="AW83" s="151">
        <f>AW82</f>
        <v>0</v>
      </c>
      <c r="AX83" s="152">
        <f t="shared" si="156"/>
        <v>0</v>
      </c>
      <c r="AY83" s="144">
        <f t="shared" ref="AY83" si="169">(AU83-AX83)*AT83</f>
        <v>0</v>
      </c>
      <c r="AZ83" s="144">
        <f t="shared" si="157"/>
        <v>95.126568025135867</v>
      </c>
      <c r="BA83" s="144">
        <f t="shared" si="158"/>
        <v>195.82386519192838</v>
      </c>
      <c r="BB83" s="153">
        <f t="shared" si="159"/>
        <v>100.69729716679251</v>
      </c>
      <c r="BC83" s="241">
        <v>0.4</v>
      </c>
      <c r="BD83" s="155">
        <f>0.5*BC83*BE98</f>
        <v>1.0000000000000002E-2</v>
      </c>
    </row>
    <row r="84" spans="1:58" ht="14.25" x14ac:dyDescent="0.25">
      <c r="A84" s="277"/>
      <c r="B84" s="240"/>
      <c r="C84" s="250" t="s">
        <v>68</v>
      </c>
      <c r="D84" s="252" t="str">
        <f t="shared" si="135"/>
        <v>ja</v>
      </c>
      <c r="E84" s="253"/>
      <c r="F84" s="254">
        <v>0</v>
      </c>
      <c r="G84" s="255">
        <v>0</v>
      </c>
      <c r="H84" s="256">
        <f t="shared" si="136"/>
        <v>0</v>
      </c>
      <c r="I84" s="257">
        <v>0.4</v>
      </c>
      <c r="J84" s="256">
        <f t="shared" si="137"/>
        <v>55.052</v>
      </c>
      <c r="K84" s="258">
        <v>0.6</v>
      </c>
      <c r="L84" s="256">
        <f t="shared" si="138"/>
        <v>82.577999999999989</v>
      </c>
      <c r="M84" s="257">
        <v>0.6</v>
      </c>
      <c r="N84" s="256">
        <f t="shared" si="139"/>
        <v>29.181000000000001</v>
      </c>
      <c r="O84" s="258">
        <v>1</v>
      </c>
      <c r="P84" s="256">
        <f t="shared" si="140"/>
        <v>48.635000000000005</v>
      </c>
      <c r="Q84" s="257">
        <v>0.5</v>
      </c>
      <c r="R84" s="256">
        <f t="shared" si="141"/>
        <v>23.245784012567928</v>
      </c>
      <c r="S84" s="258">
        <v>1</v>
      </c>
      <c r="T84" s="256">
        <f t="shared" si="142"/>
        <v>46.491568025135855</v>
      </c>
      <c r="U84" s="257"/>
      <c r="V84" s="256">
        <f t="shared" si="143"/>
        <v>0</v>
      </c>
      <c r="W84" s="258"/>
      <c r="X84" s="256">
        <f t="shared" si="144"/>
        <v>0</v>
      </c>
      <c r="Y84" s="257">
        <v>0.3</v>
      </c>
      <c r="Z84" s="256">
        <f t="shared" si="145"/>
        <v>15.846142857142857</v>
      </c>
      <c r="AA84" s="258">
        <v>1</v>
      </c>
      <c r="AB84" s="256">
        <f t="shared" si="146"/>
        <v>52.820476190476192</v>
      </c>
      <c r="AC84" s="257"/>
      <c r="AD84" s="256">
        <f t="shared" si="147"/>
        <v>0</v>
      </c>
      <c r="AE84" s="258"/>
      <c r="AF84" s="256">
        <f t="shared" si="148"/>
        <v>0</v>
      </c>
      <c r="AG84" s="257"/>
      <c r="AH84" s="256">
        <f t="shared" si="149"/>
        <v>0</v>
      </c>
      <c r="AI84" s="258"/>
      <c r="AJ84" s="256">
        <f t="shared" si="150"/>
        <v>0</v>
      </c>
      <c r="AK84" s="257"/>
      <c r="AL84" s="256">
        <f t="shared" si="151"/>
        <v>0</v>
      </c>
      <c r="AM84" s="258"/>
      <c r="AN84" s="256">
        <f t="shared" si="152"/>
        <v>0</v>
      </c>
      <c r="AO84" s="257"/>
      <c r="AP84" s="256">
        <f t="shared" si="153"/>
        <v>0</v>
      </c>
      <c r="AQ84" s="258"/>
      <c r="AR84" s="256">
        <f t="shared" si="154"/>
        <v>0</v>
      </c>
      <c r="AS84" s="259">
        <v>0</v>
      </c>
      <c r="AT84" s="260">
        <f>AS84*0.9</f>
        <v>0</v>
      </c>
      <c r="AU84" s="261">
        <f>AU82</f>
        <v>0</v>
      </c>
      <c r="AV84" s="256">
        <f t="shared" si="155"/>
        <v>0</v>
      </c>
      <c r="AW84" s="262">
        <v>0</v>
      </c>
      <c r="AX84" s="263">
        <f t="shared" si="156"/>
        <v>0</v>
      </c>
      <c r="AY84" s="256">
        <f>(AU84-AX84)*AT84</f>
        <v>0</v>
      </c>
      <c r="AZ84" s="256">
        <f t="shared" si="157"/>
        <v>123.32492686971078</v>
      </c>
      <c r="BA84" s="256">
        <f t="shared" si="158"/>
        <v>180.83541921561203</v>
      </c>
      <c r="BB84" s="222">
        <f t="shared" si="159"/>
        <v>57.510492345901255</v>
      </c>
      <c r="BC84" s="264">
        <v>0.4</v>
      </c>
      <c r="BD84" s="265">
        <f>0.2*BC84*BE100</f>
        <v>4.4000000000000004E-2</v>
      </c>
      <c r="BF84" s="283"/>
    </row>
    <row r="85" spans="1:58" ht="15" thickBot="1" x14ac:dyDescent="0.3">
      <c r="A85" s="277"/>
      <c r="B85" s="240"/>
      <c r="C85" s="266"/>
      <c r="D85" s="140" t="str">
        <f t="shared" si="135"/>
        <v>nein</v>
      </c>
      <c r="E85" s="141"/>
      <c r="F85" s="142">
        <v>0</v>
      </c>
      <c r="G85" s="143">
        <v>0</v>
      </c>
      <c r="H85" s="144">
        <f t="shared" si="136"/>
        <v>0</v>
      </c>
      <c r="I85" s="145"/>
      <c r="J85" s="144">
        <f t="shared" si="137"/>
        <v>0</v>
      </c>
      <c r="K85" s="147"/>
      <c r="L85" s="144">
        <f t="shared" si="138"/>
        <v>0</v>
      </c>
      <c r="M85" s="145">
        <v>1</v>
      </c>
      <c r="N85" s="144">
        <f t="shared" si="139"/>
        <v>48.635000000000005</v>
      </c>
      <c r="O85" s="147">
        <v>1.5</v>
      </c>
      <c r="P85" s="144">
        <f t="shared" si="140"/>
        <v>72.952500000000015</v>
      </c>
      <c r="Q85" s="145">
        <v>1</v>
      </c>
      <c r="R85" s="144">
        <f t="shared" si="141"/>
        <v>46.491568025135855</v>
      </c>
      <c r="S85" s="147">
        <v>1.5</v>
      </c>
      <c r="T85" s="144">
        <f t="shared" si="142"/>
        <v>69.737352037703786</v>
      </c>
      <c r="U85" s="145"/>
      <c r="V85" s="144">
        <f t="shared" si="143"/>
        <v>0</v>
      </c>
      <c r="W85" s="147"/>
      <c r="X85" s="144">
        <f t="shared" si="144"/>
        <v>0</v>
      </c>
      <c r="Y85" s="145">
        <v>0.5</v>
      </c>
      <c r="Z85" s="144">
        <f t="shared" si="145"/>
        <v>26.410238095238096</v>
      </c>
      <c r="AA85" s="147">
        <v>1</v>
      </c>
      <c r="AB85" s="144">
        <f t="shared" si="146"/>
        <v>52.820476190476192</v>
      </c>
      <c r="AC85" s="145"/>
      <c r="AD85" s="144">
        <f t="shared" si="147"/>
        <v>0</v>
      </c>
      <c r="AE85" s="147"/>
      <c r="AF85" s="144">
        <f t="shared" si="148"/>
        <v>0</v>
      </c>
      <c r="AG85" s="145"/>
      <c r="AH85" s="144">
        <f t="shared" si="149"/>
        <v>0</v>
      </c>
      <c r="AI85" s="147"/>
      <c r="AJ85" s="144">
        <f t="shared" si="150"/>
        <v>0</v>
      </c>
      <c r="AK85" s="145"/>
      <c r="AL85" s="144">
        <f t="shared" si="151"/>
        <v>0</v>
      </c>
      <c r="AM85" s="147"/>
      <c r="AN85" s="144">
        <f t="shared" si="152"/>
        <v>0</v>
      </c>
      <c r="AO85" s="145"/>
      <c r="AP85" s="144">
        <f t="shared" si="153"/>
        <v>0</v>
      </c>
      <c r="AQ85" s="147"/>
      <c r="AR85" s="144">
        <f t="shared" si="154"/>
        <v>0</v>
      </c>
      <c r="AS85" s="148">
        <f>AS84</f>
        <v>0</v>
      </c>
      <c r="AT85" s="149">
        <f t="shared" ref="AT85" si="170">AS85*0.9</f>
        <v>0</v>
      </c>
      <c r="AU85" s="150">
        <f>AU84</f>
        <v>0</v>
      </c>
      <c r="AV85" s="144">
        <f t="shared" si="155"/>
        <v>0</v>
      </c>
      <c r="AW85" s="151">
        <f>AW84</f>
        <v>0</v>
      </c>
      <c r="AX85" s="152">
        <f t="shared" si="156"/>
        <v>0</v>
      </c>
      <c r="AY85" s="144">
        <f t="shared" ref="AY85" si="171">(AU85-AX85)*AT85</f>
        <v>0</v>
      </c>
      <c r="AZ85" s="144">
        <f t="shared" si="157"/>
        <v>121.53680612037397</v>
      </c>
      <c r="BA85" s="144">
        <f t="shared" si="158"/>
        <v>145.82070322818001</v>
      </c>
      <c r="BB85" s="153">
        <f t="shared" si="159"/>
        <v>24.283897107806041</v>
      </c>
      <c r="BC85" s="241">
        <v>0.6</v>
      </c>
      <c r="BD85" s="155">
        <f>0.2*BC85*BE100</f>
        <v>6.5999999999999989E-2</v>
      </c>
    </row>
    <row r="86" spans="1:58" ht="14.25" x14ac:dyDescent="0.25">
      <c r="A86" s="277"/>
      <c r="B86" s="240"/>
      <c r="C86" s="267" t="s">
        <v>69</v>
      </c>
      <c r="D86" s="121" t="s">
        <v>62</v>
      </c>
      <c r="E86" s="194"/>
      <c r="F86" s="195"/>
      <c r="G86" s="196"/>
      <c r="H86" s="197"/>
      <c r="I86" s="198"/>
      <c r="J86" s="197"/>
      <c r="K86" s="199"/>
      <c r="L86" s="197"/>
      <c r="M86" s="198"/>
      <c r="N86" s="197"/>
      <c r="O86" s="199"/>
      <c r="P86" s="197"/>
      <c r="Q86" s="198"/>
      <c r="R86" s="197"/>
      <c r="S86" s="199"/>
      <c r="T86" s="197"/>
      <c r="U86" s="198"/>
      <c r="V86" s="197"/>
      <c r="W86" s="199"/>
      <c r="X86" s="197"/>
      <c r="Y86" s="198"/>
      <c r="Z86" s="197"/>
      <c r="AA86" s="199"/>
      <c r="AB86" s="197"/>
      <c r="AC86" s="198"/>
      <c r="AD86" s="197"/>
      <c r="AE86" s="199"/>
      <c r="AF86" s="197"/>
      <c r="AG86" s="198"/>
      <c r="AH86" s="197"/>
      <c r="AI86" s="199"/>
      <c r="AJ86" s="197"/>
      <c r="AK86" s="198"/>
      <c r="AL86" s="197"/>
      <c r="AM86" s="199"/>
      <c r="AN86" s="197"/>
      <c r="AO86" s="198"/>
      <c r="AP86" s="197"/>
      <c r="AQ86" s="199"/>
      <c r="AR86" s="197"/>
      <c r="AS86" s="200"/>
      <c r="AT86" s="200"/>
      <c r="AU86" s="201"/>
      <c r="AV86" s="197"/>
      <c r="AW86" s="201"/>
      <c r="AX86" s="201"/>
      <c r="AY86" s="197"/>
      <c r="AZ86" s="197"/>
      <c r="BA86" s="197"/>
      <c r="BB86" s="220">
        <f>(BB74*BD74+BB76*BD76+BB78*BD78+BB80*BD80+BB82*BD82+BB84*BD84)/(BD74+BD76+BD78+BD80+BD82+BD84)</f>
        <v>79.261703427007461</v>
      </c>
      <c r="BC86" s="203"/>
      <c r="BD86" s="136">
        <f>BD74+BD76+BD78+BD80+BD82+BD84</f>
        <v>0.23800010000000002</v>
      </c>
    </row>
    <row r="87" spans="1:58" ht="15" thickBot="1" x14ac:dyDescent="0.3">
      <c r="A87" s="277"/>
      <c r="B87" s="240"/>
      <c r="C87" s="266"/>
      <c r="D87" s="178" t="s">
        <v>64</v>
      </c>
      <c r="E87" s="204"/>
      <c r="F87" s="205"/>
      <c r="G87" s="206"/>
      <c r="H87" s="115"/>
      <c r="I87" s="207"/>
      <c r="J87" s="115"/>
      <c r="K87" s="208"/>
      <c r="L87" s="115"/>
      <c r="M87" s="207"/>
      <c r="N87" s="115"/>
      <c r="O87" s="208"/>
      <c r="P87" s="115"/>
      <c r="Q87" s="207"/>
      <c r="R87" s="115"/>
      <c r="S87" s="208"/>
      <c r="T87" s="115"/>
      <c r="U87" s="207"/>
      <c r="V87" s="115"/>
      <c r="W87" s="208"/>
      <c r="X87" s="115"/>
      <c r="Y87" s="207"/>
      <c r="Z87" s="115"/>
      <c r="AA87" s="208"/>
      <c r="AB87" s="115"/>
      <c r="AC87" s="207"/>
      <c r="AD87" s="115"/>
      <c r="AE87" s="208"/>
      <c r="AF87" s="115"/>
      <c r="AG87" s="207"/>
      <c r="AH87" s="115"/>
      <c r="AI87" s="208"/>
      <c r="AJ87" s="115"/>
      <c r="AK87" s="207"/>
      <c r="AL87" s="115"/>
      <c r="AM87" s="208"/>
      <c r="AN87" s="115"/>
      <c r="AO87" s="207"/>
      <c r="AP87" s="115"/>
      <c r="AQ87" s="208"/>
      <c r="AR87" s="115"/>
      <c r="AS87" s="209"/>
      <c r="AT87" s="209"/>
      <c r="AU87" s="210"/>
      <c r="AV87" s="115"/>
      <c r="AW87" s="210"/>
      <c r="AX87" s="210"/>
      <c r="AY87" s="115"/>
      <c r="AZ87" s="115"/>
      <c r="BA87" s="115"/>
      <c r="BB87" s="225">
        <f>(BB75*BD75+BB77*BD77+BB79*BD79+BB81*BD81+BB83*BD83+BB85*BD85)/(BD75+BD77+BD79+BD81+BD83+BD85)</f>
        <v>55.217810672909479</v>
      </c>
      <c r="BC87" s="211"/>
      <c r="BD87" s="192">
        <f>BD75+BD77+BD79+BD81+BD83+BD85</f>
        <v>0.17033339999999997</v>
      </c>
    </row>
    <row r="88" spans="1:58" s="239" customFormat="1" ht="15.75" thickBot="1" x14ac:dyDescent="0.3">
      <c r="A88" s="277"/>
      <c r="B88" s="274"/>
      <c r="C88" s="269"/>
      <c r="D88" s="214" t="s">
        <v>70</v>
      </c>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28">
        <f>(BB86*BD86+BB87*BD87)/(BD86+BD87)</f>
        <v>69.231965474963673</v>
      </c>
      <c r="BC88" s="217"/>
      <c r="BD88" s="218">
        <f>BD86+BD87</f>
        <v>0.40833350000000002</v>
      </c>
      <c r="BE88" s="13"/>
      <c r="BF88" s="13"/>
    </row>
    <row r="89" spans="1:58" s="239" customFormat="1" ht="14.25" x14ac:dyDescent="0.25">
      <c r="A89" s="277"/>
      <c r="B89" s="284" t="s">
        <v>64</v>
      </c>
      <c r="C89" s="276" t="s">
        <v>61</v>
      </c>
      <c r="D89" s="252" t="str">
        <f t="shared" ref="D89:D100" si="172">D74</f>
        <v>ja</v>
      </c>
      <c r="E89" s="253"/>
      <c r="F89" s="254">
        <v>0</v>
      </c>
      <c r="G89" s="255">
        <v>0</v>
      </c>
      <c r="H89" s="134">
        <f t="shared" ref="H89:H100" si="173">IF(F89=0,0,F89*G89+$G$8+$G$9)</f>
        <v>0</v>
      </c>
      <c r="I89" s="257">
        <v>0.1</v>
      </c>
      <c r="J89" s="134">
        <f t="shared" ref="J89:J100" si="174">I89*(I$13*$B$9+K$13)</f>
        <v>13.763</v>
      </c>
      <c r="K89" s="280">
        <v>0.3</v>
      </c>
      <c r="L89" s="134">
        <f t="shared" ref="L89:L100" si="175">K89*(I$13*$B$9+K$13)</f>
        <v>41.288999999999994</v>
      </c>
      <c r="M89" s="257">
        <v>1</v>
      </c>
      <c r="N89" s="134">
        <f t="shared" ref="N89:N100" si="176">M89*(M$13*$B$9+O$13)</f>
        <v>48.635000000000005</v>
      </c>
      <c r="O89" s="280">
        <v>1.5</v>
      </c>
      <c r="P89" s="134">
        <f t="shared" ref="P89:P100" si="177">O89*(M$13*$B$9+O$13)</f>
        <v>72.952500000000015</v>
      </c>
      <c r="Q89" s="257">
        <v>0.5</v>
      </c>
      <c r="R89" s="134">
        <f t="shared" ref="R89:R100" si="178">Q89*(Q$13*$B$9+S$13)</f>
        <v>23.245784012567928</v>
      </c>
      <c r="S89" s="280">
        <v>1</v>
      </c>
      <c r="T89" s="134">
        <f t="shared" ref="T89:T100" si="179">S89*(Q$13*$B$9+S$13)</f>
        <v>46.491568025135855</v>
      </c>
      <c r="U89" s="257"/>
      <c r="V89" s="134">
        <f t="shared" ref="V89:V100" si="180">U89*(U$13*$B$9+W$13)</f>
        <v>0</v>
      </c>
      <c r="W89" s="280"/>
      <c r="X89" s="134">
        <f t="shared" ref="X89:X100" si="181">W89*(U$13*$B$9+W$13)</f>
        <v>0</v>
      </c>
      <c r="Y89" s="257"/>
      <c r="Z89" s="134">
        <f t="shared" ref="Z89:Z100" si="182">Y89*(Y$13*$B$9+AA$13)</f>
        <v>0</v>
      </c>
      <c r="AA89" s="280"/>
      <c r="AB89" s="134">
        <f t="shared" ref="AB89:AB100" si="183">AA89*(Y$13*$B$9+AA$13)</f>
        <v>0</v>
      </c>
      <c r="AC89" s="257"/>
      <c r="AD89" s="134">
        <f t="shared" ref="AD89:AD100" si="184">AC89*(AC$13*$B$9+AE$13)</f>
        <v>0</v>
      </c>
      <c r="AE89" s="280"/>
      <c r="AF89" s="134">
        <f t="shared" ref="AF89:AF100" si="185">AE89*(AC$13*$B$9+AE$13)</f>
        <v>0</v>
      </c>
      <c r="AG89" s="257"/>
      <c r="AH89" s="134">
        <f t="shared" ref="AH89:AH100" si="186">AG89*(AG$13*$B$9+AI$13)</f>
        <v>0</v>
      </c>
      <c r="AI89" s="280"/>
      <c r="AJ89" s="134">
        <f t="shared" ref="AJ89:AJ100" si="187">AI89*(AG$13*$B$9+AI$13)</f>
        <v>0</v>
      </c>
      <c r="AK89" s="257"/>
      <c r="AL89" s="134">
        <f t="shared" ref="AL89:AL100" si="188">AK89*(AK$13*$B$9+AM$13)</f>
        <v>0</v>
      </c>
      <c r="AM89" s="280"/>
      <c r="AN89" s="134">
        <f t="shared" ref="AN89:AN100" si="189">AM89*(AK$13*$B$9+AM$13)</f>
        <v>0</v>
      </c>
      <c r="AO89" s="257"/>
      <c r="AP89" s="134">
        <f t="shared" ref="AP89:AP100" si="190">AO89*(AO$13*$B$9+AQ$13)</f>
        <v>0</v>
      </c>
      <c r="AQ89" s="280"/>
      <c r="AR89" s="134">
        <f t="shared" ref="AR89:AR100" si="191">AQ89*(AO$13*$B$9+AQ$13)</f>
        <v>0</v>
      </c>
      <c r="AS89" s="259">
        <v>0</v>
      </c>
      <c r="AT89" s="260">
        <f>AS89*0.9</f>
        <v>0</v>
      </c>
      <c r="AU89" s="261">
        <f>AU74</f>
        <v>0</v>
      </c>
      <c r="AV89" s="134">
        <f t="shared" si="155"/>
        <v>0</v>
      </c>
      <c r="AW89" s="262">
        <v>0</v>
      </c>
      <c r="AX89" s="133">
        <f t="shared" si="156"/>
        <v>0</v>
      </c>
      <c r="AY89" s="134">
        <f>(AU89-AX89)*AT89</f>
        <v>0</v>
      </c>
      <c r="AZ89" s="134">
        <f t="shared" si="157"/>
        <v>85.643784012567934</v>
      </c>
      <c r="BA89" s="134">
        <f t="shared" ref="BA89:BA100" si="192">IF(SUM(AQ89+AE89+AA89+W89+S89+O89+K89)=0,0,H89+L89+P89+T89+X89+AB89+AF89+AJ89+AN89+AR89+AV89+AY89-$G$11)</f>
        <v>111.04344302513584</v>
      </c>
      <c r="BB89" s="222">
        <f t="shared" si="159"/>
        <v>25.399659012567909</v>
      </c>
      <c r="BC89" s="264">
        <v>0.6</v>
      </c>
      <c r="BD89" s="265">
        <f>0.6*BC89*BE90</f>
        <v>1.7999999999999999E-2</v>
      </c>
      <c r="BE89" s="13"/>
      <c r="BF89" s="13"/>
    </row>
    <row r="90" spans="1:58" s="239" customFormat="1" ht="14.25" x14ac:dyDescent="0.25">
      <c r="A90" s="277"/>
      <c r="B90" s="240"/>
      <c r="C90" s="278"/>
      <c r="D90" s="140" t="str">
        <f t="shared" si="172"/>
        <v>nein</v>
      </c>
      <c r="E90" s="141"/>
      <c r="F90" s="142">
        <v>0</v>
      </c>
      <c r="G90" s="143">
        <v>0</v>
      </c>
      <c r="H90" s="153">
        <f t="shared" si="173"/>
        <v>0</v>
      </c>
      <c r="I90" s="145">
        <v>0</v>
      </c>
      <c r="J90" s="153">
        <f t="shared" si="174"/>
        <v>0</v>
      </c>
      <c r="K90" s="147"/>
      <c r="L90" s="153">
        <f t="shared" si="175"/>
        <v>0</v>
      </c>
      <c r="M90" s="145">
        <v>1</v>
      </c>
      <c r="N90" s="153">
        <f t="shared" si="176"/>
        <v>48.635000000000005</v>
      </c>
      <c r="O90" s="147">
        <v>2</v>
      </c>
      <c r="P90" s="153">
        <f t="shared" si="177"/>
        <v>97.27000000000001</v>
      </c>
      <c r="Q90" s="145">
        <v>0.5</v>
      </c>
      <c r="R90" s="153">
        <f t="shared" si="178"/>
        <v>23.245784012567928</v>
      </c>
      <c r="S90" s="147">
        <v>1.5</v>
      </c>
      <c r="T90" s="153">
        <f t="shared" si="179"/>
        <v>69.737352037703786</v>
      </c>
      <c r="U90" s="145"/>
      <c r="V90" s="153">
        <f t="shared" si="180"/>
        <v>0</v>
      </c>
      <c r="W90" s="147"/>
      <c r="X90" s="153">
        <f t="shared" si="181"/>
        <v>0</v>
      </c>
      <c r="Y90" s="145"/>
      <c r="Z90" s="153">
        <f t="shared" si="182"/>
        <v>0</v>
      </c>
      <c r="AA90" s="147"/>
      <c r="AB90" s="153">
        <f t="shared" si="183"/>
        <v>0</v>
      </c>
      <c r="AC90" s="145"/>
      <c r="AD90" s="153">
        <f t="shared" si="184"/>
        <v>0</v>
      </c>
      <c r="AE90" s="147"/>
      <c r="AF90" s="153">
        <f t="shared" si="185"/>
        <v>0</v>
      </c>
      <c r="AG90" s="145"/>
      <c r="AH90" s="153">
        <f t="shared" si="186"/>
        <v>0</v>
      </c>
      <c r="AI90" s="147"/>
      <c r="AJ90" s="153">
        <f t="shared" si="187"/>
        <v>0</v>
      </c>
      <c r="AK90" s="145"/>
      <c r="AL90" s="153">
        <f t="shared" si="188"/>
        <v>0</v>
      </c>
      <c r="AM90" s="147"/>
      <c r="AN90" s="153">
        <f t="shared" si="189"/>
        <v>0</v>
      </c>
      <c r="AO90" s="145"/>
      <c r="AP90" s="153">
        <f t="shared" si="190"/>
        <v>0</v>
      </c>
      <c r="AQ90" s="147"/>
      <c r="AR90" s="153">
        <f t="shared" si="191"/>
        <v>0</v>
      </c>
      <c r="AS90" s="148">
        <f>AS89</f>
        <v>0</v>
      </c>
      <c r="AT90" s="149">
        <f t="shared" ref="AT90" si="193">AS90*0.9</f>
        <v>0</v>
      </c>
      <c r="AU90" s="150">
        <f>AU89</f>
        <v>0</v>
      </c>
      <c r="AV90" s="153">
        <f t="shared" si="155"/>
        <v>0</v>
      </c>
      <c r="AW90" s="151">
        <f>AW89</f>
        <v>0</v>
      </c>
      <c r="AX90" s="152">
        <f t="shared" si="156"/>
        <v>0</v>
      </c>
      <c r="AY90" s="153">
        <f t="shared" ref="AY90" si="194">(AU90-AX90)*AT90</f>
        <v>0</v>
      </c>
      <c r="AZ90" s="153">
        <f t="shared" si="157"/>
        <v>71.880784012567929</v>
      </c>
      <c r="BA90" s="153">
        <f t="shared" si="192"/>
        <v>117.3177270377038</v>
      </c>
      <c r="BB90" s="153">
        <f t="shared" si="159"/>
        <v>45.436943025135875</v>
      </c>
      <c r="BC90" s="241">
        <v>0.4</v>
      </c>
      <c r="BD90" s="155">
        <f>BE90-BD89-BD75-BD74</f>
        <v>1.2E-2</v>
      </c>
      <c r="BE90" s="285">
        <v>0.05</v>
      </c>
      <c r="BF90" s="13"/>
    </row>
    <row r="91" spans="1:58" ht="14.25" x14ac:dyDescent="0.25">
      <c r="A91" s="277"/>
      <c r="B91" s="240"/>
      <c r="C91" s="279" t="s">
        <v>63</v>
      </c>
      <c r="D91" s="252" t="str">
        <f t="shared" si="172"/>
        <v>ja</v>
      </c>
      <c r="E91" s="253"/>
      <c r="F91" s="254">
        <v>0</v>
      </c>
      <c r="G91" s="255">
        <v>0</v>
      </c>
      <c r="H91" s="165">
        <f t="shared" si="173"/>
        <v>0</v>
      </c>
      <c r="I91" s="257">
        <v>0.5</v>
      </c>
      <c r="J91" s="165">
        <f t="shared" si="174"/>
        <v>68.814999999999998</v>
      </c>
      <c r="K91" s="280">
        <v>0.8</v>
      </c>
      <c r="L91" s="165">
        <f t="shared" si="175"/>
        <v>110.104</v>
      </c>
      <c r="M91" s="257">
        <v>0.5</v>
      </c>
      <c r="N91" s="165">
        <f t="shared" si="176"/>
        <v>24.317500000000003</v>
      </c>
      <c r="O91" s="280">
        <v>1.5</v>
      </c>
      <c r="P91" s="165">
        <f t="shared" si="177"/>
        <v>72.952500000000015</v>
      </c>
      <c r="Q91" s="257">
        <v>1</v>
      </c>
      <c r="R91" s="165">
        <f t="shared" si="178"/>
        <v>46.491568025135855</v>
      </c>
      <c r="S91" s="280">
        <v>1.5</v>
      </c>
      <c r="T91" s="165">
        <f t="shared" si="179"/>
        <v>69.737352037703786</v>
      </c>
      <c r="U91" s="257"/>
      <c r="V91" s="165">
        <f t="shared" si="180"/>
        <v>0</v>
      </c>
      <c r="W91" s="280"/>
      <c r="X91" s="165">
        <f t="shared" si="181"/>
        <v>0</v>
      </c>
      <c r="Y91" s="257">
        <v>1</v>
      </c>
      <c r="Z91" s="165">
        <f t="shared" si="182"/>
        <v>52.820476190476192</v>
      </c>
      <c r="AA91" s="280">
        <v>1</v>
      </c>
      <c r="AB91" s="165">
        <f t="shared" si="183"/>
        <v>52.820476190476192</v>
      </c>
      <c r="AC91" s="257"/>
      <c r="AD91" s="165">
        <f t="shared" si="184"/>
        <v>0</v>
      </c>
      <c r="AE91" s="280"/>
      <c r="AF91" s="165">
        <f t="shared" si="185"/>
        <v>0</v>
      </c>
      <c r="AG91" s="257"/>
      <c r="AH91" s="165">
        <f t="shared" si="186"/>
        <v>0</v>
      </c>
      <c r="AI91" s="280"/>
      <c r="AJ91" s="165">
        <f t="shared" si="187"/>
        <v>0</v>
      </c>
      <c r="AK91" s="257"/>
      <c r="AL91" s="165">
        <f t="shared" si="188"/>
        <v>0</v>
      </c>
      <c r="AM91" s="280"/>
      <c r="AN91" s="165">
        <f t="shared" si="189"/>
        <v>0</v>
      </c>
      <c r="AO91" s="257"/>
      <c r="AP91" s="165">
        <f t="shared" si="190"/>
        <v>0</v>
      </c>
      <c r="AQ91" s="280"/>
      <c r="AR91" s="165">
        <f t="shared" si="191"/>
        <v>0</v>
      </c>
      <c r="AS91" s="259">
        <v>0</v>
      </c>
      <c r="AT91" s="260">
        <f>AS91*0.9</f>
        <v>0</v>
      </c>
      <c r="AU91" s="261">
        <f>AU76</f>
        <v>0</v>
      </c>
      <c r="AV91" s="165">
        <f t="shared" si="155"/>
        <v>0</v>
      </c>
      <c r="AW91" s="262">
        <v>0</v>
      </c>
      <c r="AX91" s="170">
        <f t="shared" si="156"/>
        <v>0</v>
      </c>
      <c r="AY91" s="165">
        <f>(AU91-AX91)*AT91</f>
        <v>0</v>
      </c>
      <c r="AZ91" s="165">
        <f t="shared" si="157"/>
        <v>192.44454421561204</v>
      </c>
      <c r="BA91" s="165">
        <f t="shared" si="192"/>
        <v>255.92470322817999</v>
      </c>
      <c r="BB91" s="222">
        <f t="shared" si="159"/>
        <v>63.480159012567952</v>
      </c>
      <c r="BC91" s="264">
        <v>0.7</v>
      </c>
      <c r="BD91" s="265">
        <f>0.25*BC91*BE92</f>
        <v>3.4999999999999996E-2</v>
      </c>
    </row>
    <row r="92" spans="1:58" ht="14.25" x14ac:dyDescent="0.25">
      <c r="A92" s="277"/>
      <c r="B92" s="240"/>
      <c r="C92" s="278"/>
      <c r="D92" s="140" t="str">
        <f t="shared" si="172"/>
        <v>nein</v>
      </c>
      <c r="E92" s="141"/>
      <c r="F92" s="142">
        <v>0</v>
      </c>
      <c r="G92" s="143">
        <v>0</v>
      </c>
      <c r="H92" s="144">
        <f t="shared" si="173"/>
        <v>0</v>
      </c>
      <c r="I92" s="145"/>
      <c r="J92" s="144">
        <f t="shared" si="174"/>
        <v>0</v>
      </c>
      <c r="K92" s="147"/>
      <c r="L92" s="144">
        <f t="shared" si="175"/>
        <v>0</v>
      </c>
      <c r="M92" s="145">
        <v>1</v>
      </c>
      <c r="N92" s="144">
        <f t="shared" si="176"/>
        <v>48.635000000000005</v>
      </c>
      <c r="O92" s="147">
        <v>2.5</v>
      </c>
      <c r="P92" s="144">
        <f t="shared" si="177"/>
        <v>121.58750000000001</v>
      </c>
      <c r="Q92" s="145">
        <v>1</v>
      </c>
      <c r="R92" s="144">
        <f t="shared" si="178"/>
        <v>46.491568025135855</v>
      </c>
      <c r="S92" s="147">
        <v>1.5</v>
      </c>
      <c r="T92" s="144">
        <f t="shared" si="179"/>
        <v>69.737352037703786</v>
      </c>
      <c r="U92" s="145"/>
      <c r="V92" s="144">
        <f t="shared" si="180"/>
        <v>0</v>
      </c>
      <c r="W92" s="147"/>
      <c r="X92" s="144">
        <f t="shared" si="181"/>
        <v>0</v>
      </c>
      <c r="Y92" s="145">
        <v>1</v>
      </c>
      <c r="Z92" s="144">
        <f t="shared" si="182"/>
        <v>52.820476190476192</v>
      </c>
      <c r="AA92" s="147">
        <v>1</v>
      </c>
      <c r="AB92" s="144">
        <f t="shared" si="183"/>
        <v>52.820476190476192</v>
      </c>
      <c r="AC92" s="145"/>
      <c r="AD92" s="144">
        <f t="shared" si="184"/>
        <v>0</v>
      </c>
      <c r="AE92" s="147"/>
      <c r="AF92" s="144">
        <f t="shared" si="185"/>
        <v>0</v>
      </c>
      <c r="AG92" s="145"/>
      <c r="AH92" s="144">
        <f t="shared" si="186"/>
        <v>0</v>
      </c>
      <c r="AI92" s="147"/>
      <c r="AJ92" s="144">
        <f t="shared" si="187"/>
        <v>0</v>
      </c>
      <c r="AK92" s="145"/>
      <c r="AL92" s="144">
        <f t="shared" si="188"/>
        <v>0</v>
      </c>
      <c r="AM92" s="147"/>
      <c r="AN92" s="144">
        <f t="shared" si="189"/>
        <v>0</v>
      </c>
      <c r="AO92" s="145"/>
      <c r="AP92" s="144">
        <f t="shared" si="190"/>
        <v>0</v>
      </c>
      <c r="AQ92" s="147"/>
      <c r="AR92" s="144">
        <f t="shared" si="191"/>
        <v>0</v>
      </c>
      <c r="AS92" s="148">
        <f>AS91</f>
        <v>0</v>
      </c>
      <c r="AT92" s="149">
        <f t="shared" ref="AT92" si="195">AS92*0.9</f>
        <v>0</v>
      </c>
      <c r="AU92" s="150">
        <f>AU91</f>
        <v>0</v>
      </c>
      <c r="AV92" s="144">
        <f t="shared" si="155"/>
        <v>0</v>
      </c>
      <c r="AW92" s="151">
        <f>AW91</f>
        <v>0</v>
      </c>
      <c r="AX92" s="152">
        <f t="shared" si="156"/>
        <v>0</v>
      </c>
      <c r="AY92" s="144">
        <f t="shared" ref="AY92" si="196">(AU92-AX92)*AT92</f>
        <v>0</v>
      </c>
      <c r="AZ92" s="144">
        <f t="shared" si="157"/>
        <v>147.94704421561207</v>
      </c>
      <c r="BA92" s="144">
        <f t="shared" si="192"/>
        <v>194.45570322818</v>
      </c>
      <c r="BB92" s="153">
        <f t="shared" si="159"/>
        <v>46.508659012567932</v>
      </c>
      <c r="BC92" s="241">
        <v>0.3</v>
      </c>
      <c r="BD92" s="155">
        <f>BE92-BD91-BD77-BD76</f>
        <v>1.5000000000000027E-2</v>
      </c>
      <c r="BE92" s="285">
        <v>0.2</v>
      </c>
    </row>
    <row r="93" spans="1:58" ht="14.25" x14ac:dyDescent="0.25">
      <c r="A93" s="277"/>
      <c r="B93" s="240"/>
      <c r="C93" s="244" t="s">
        <v>65</v>
      </c>
      <c r="D93" s="252" t="str">
        <f t="shared" si="172"/>
        <v>ja</v>
      </c>
      <c r="E93" s="253"/>
      <c r="F93" s="254">
        <v>0</v>
      </c>
      <c r="G93" s="255">
        <v>0</v>
      </c>
      <c r="H93" s="165">
        <f t="shared" si="173"/>
        <v>0</v>
      </c>
      <c r="I93" s="257">
        <v>0.8</v>
      </c>
      <c r="J93" s="165">
        <f t="shared" si="174"/>
        <v>110.104</v>
      </c>
      <c r="K93" s="280">
        <v>1</v>
      </c>
      <c r="L93" s="165">
        <f t="shared" si="175"/>
        <v>137.63</v>
      </c>
      <c r="M93" s="257">
        <v>0.2</v>
      </c>
      <c r="N93" s="165">
        <f t="shared" si="176"/>
        <v>9.7270000000000021</v>
      </c>
      <c r="O93" s="280">
        <v>1.5</v>
      </c>
      <c r="P93" s="165">
        <f t="shared" si="177"/>
        <v>72.952500000000015</v>
      </c>
      <c r="Q93" s="257">
        <v>1</v>
      </c>
      <c r="R93" s="165">
        <f t="shared" si="178"/>
        <v>46.491568025135855</v>
      </c>
      <c r="S93" s="280">
        <v>1</v>
      </c>
      <c r="T93" s="165">
        <f t="shared" si="179"/>
        <v>46.491568025135855</v>
      </c>
      <c r="U93" s="257"/>
      <c r="V93" s="165">
        <f t="shared" si="180"/>
        <v>0</v>
      </c>
      <c r="W93" s="280"/>
      <c r="X93" s="165">
        <f t="shared" si="181"/>
        <v>0</v>
      </c>
      <c r="Y93" s="257"/>
      <c r="Z93" s="165">
        <f t="shared" si="182"/>
        <v>0</v>
      </c>
      <c r="AA93" s="280"/>
      <c r="AB93" s="165">
        <f t="shared" si="183"/>
        <v>0</v>
      </c>
      <c r="AC93" s="257"/>
      <c r="AD93" s="165">
        <f t="shared" si="184"/>
        <v>0</v>
      </c>
      <c r="AE93" s="280"/>
      <c r="AF93" s="165">
        <f t="shared" si="185"/>
        <v>0</v>
      </c>
      <c r="AG93" s="257"/>
      <c r="AH93" s="165">
        <f t="shared" si="186"/>
        <v>0</v>
      </c>
      <c r="AI93" s="280"/>
      <c r="AJ93" s="165">
        <f t="shared" si="187"/>
        <v>0</v>
      </c>
      <c r="AK93" s="257"/>
      <c r="AL93" s="165">
        <f t="shared" si="188"/>
        <v>0</v>
      </c>
      <c r="AM93" s="280"/>
      <c r="AN93" s="165">
        <f t="shared" si="189"/>
        <v>0</v>
      </c>
      <c r="AO93" s="257"/>
      <c r="AP93" s="165">
        <f t="shared" si="190"/>
        <v>0</v>
      </c>
      <c r="AQ93" s="280"/>
      <c r="AR93" s="165">
        <f t="shared" si="191"/>
        <v>0</v>
      </c>
      <c r="AS93" s="259">
        <v>0</v>
      </c>
      <c r="AT93" s="260">
        <f>AS93*0.9</f>
        <v>0</v>
      </c>
      <c r="AU93" s="261">
        <f>AU78</f>
        <v>0</v>
      </c>
      <c r="AV93" s="165">
        <f t="shared" si="155"/>
        <v>0</v>
      </c>
      <c r="AW93" s="262">
        <v>0</v>
      </c>
      <c r="AX93" s="170">
        <f t="shared" si="156"/>
        <v>0</v>
      </c>
      <c r="AY93" s="165">
        <f>(AU93-AX93)*AT93</f>
        <v>0</v>
      </c>
      <c r="AZ93" s="165">
        <f t="shared" si="157"/>
        <v>166.32256802513587</v>
      </c>
      <c r="BA93" s="165">
        <f t="shared" si="192"/>
        <v>207.38444302513588</v>
      </c>
      <c r="BB93" s="222">
        <f t="shared" si="159"/>
        <v>41.061875000000015</v>
      </c>
      <c r="BC93" s="264">
        <v>0.6</v>
      </c>
      <c r="BD93" s="265">
        <f>0.33333*BC93*BE94</f>
        <v>9.9999000000000008E-3</v>
      </c>
    </row>
    <row r="94" spans="1:58" ht="14.25" x14ac:dyDescent="0.25">
      <c r="A94" s="277"/>
      <c r="B94" s="240"/>
      <c r="C94" s="245"/>
      <c r="D94" s="140" t="str">
        <f t="shared" si="172"/>
        <v>nein</v>
      </c>
      <c r="E94" s="141"/>
      <c r="F94" s="142">
        <v>0</v>
      </c>
      <c r="G94" s="143">
        <v>0</v>
      </c>
      <c r="H94" s="144">
        <f t="shared" si="173"/>
        <v>0</v>
      </c>
      <c r="I94" s="145"/>
      <c r="J94" s="144">
        <f t="shared" si="174"/>
        <v>0</v>
      </c>
      <c r="K94" s="147"/>
      <c r="L94" s="144">
        <f t="shared" si="175"/>
        <v>0</v>
      </c>
      <c r="M94" s="145">
        <v>1</v>
      </c>
      <c r="N94" s="144">
        <f t="shared" si="176"/>
        <v>48.635000000000005</v>
      </c>
      <c r="O94" s="147">
        <v>2.5</v>
      </c>
      <c r="P94" s="144">
        <f t="shared" si="177"/>
        <v>121.58750000000001</v>
      </c>
      <c r="Q94" s="145">
        <v>1</v>
      </c>
      <c r="R94" s="144">
        <f t="shared" si="178"/>
        <v>46.491568025135855</v>
      </c>
      <c r="S94" s="147">
        <v>1.5</v>
      </c>
      <c r="T94" s="144">
        <f t="shared" si="179"/>
        <v>69.737352037703786</v>
      </c>
      <c r="U94" s="145"/>
      <c r="V94" s="144">
        <f t="shared" si="180"/>
        <v>0</v>
      </c>
      <c r="W94" s="147"/>
      <c r="X94" s="144">
        <f t="shared" si="181"/>
        <v>0</v>
      </c>
      <c r="Y94" s="145"/>
      <c r="Z94" s="144">
        <f t="shared" si="182"/>
        <v>0</v>
      </c>
      <c r="AA94" s="147"/>
      <c r="AB94" s="144">
        <f t="shared" si="183"/>
        <v>0</v>
      </c>
      <c r="AC94" s="145"/>
      <c r="AD94" s="144">
        <f t="shared" si="184"/>
        <v>0</v>
      </c>
      <c r="AE94" s="147"/>
      <c r="AF94" s="144">
        <f t="shared" si="185"/>
        <v>0</v>
      </c>
      <c r="AG94" s="145"/>
      <c r="AH94" s="144">
        <f t="shared" si="186"/>
        <v>0</v>
      </c>
      <c r="AI94" s="147"/>
      <c r="AJ94" s="144">
        <f t="shared" si="187"/>
        <v>0</v>
      </c>
      <c r="AK94" s="145"/>
      <c r="AL94" s="144">
        <f t="shared" si="188"/>
        <v>0</v>
      </c>
      <c r="AM94" s="147"/>
      <c r="AN94" s="144">
        <f t="shared" si="189"/>
        <v>0</v>
      </c>
      <c r="AO94" s="145"/>
      <c r="AP94" s="144">
        <f t="shared" si="190"/>
        <v>0</v>
      </c>
      <c r="AQ94" s="147"/>
      <c r="AR94" s="144">
        <f t="shared" si="191"/>
        <v>0</v>
      </c>
      <c r="AS94" s="148">
        <f>AS93</f>
        <v>0</v>
      </c>
      <c r="AT94" s="149">
        <f t="shared" ref="AT94" si="197">AS94*0.9</f>
        <v>0</v>
      </c>
      <c r="AU94" s="150">
        <f>AU93</f>
        <v>0</v>
      </c>
      <c r="AV94" s="144">
        <f t="shared" si="155"/>
        <v>0</v>
      </c>
      <c r="AW94" s="151">
        <f>AW93</f>
        <v>0</v>
      </c>
      <c r="AX94" s="152">
        <f t="shared" si="156"/>
        <v>0</v>
      </c>
      <c r="AY94" s="144">
        <f t="shared" ref="AY94" si="198">(AU94-AX94)*AT94</f>
        <v>0</v>
      </c>
      <c r="AZ94" s="144">
        <f t="shared" si="157"/>
        <v>95.126568025135867</v>
      </c>
      <c r="BA94" s="144">
        <f t="shared" si="192"/>
        <v>141.6352270377038</v>
      </c>
      <c r="BB94" s="153">
        <f t="shared" si="159"/>
        <v>46.508659012567932</v>
      </c>
      <c r="BC94" s="241">
        <v>0.4</v>
      </c>
      <c r="BD94" s="155">
        <f>BE94-BD93-BD79-BD78</f>
        <v>6.6666000000000017E-3</v>
      </c>
      <c r="BE94" s="285">
        <v>0.05</v>
      </c>
    </row>
    <row r="95" spans="1:58" s="2" customFormat="1" ht="15.75" x14ac:dyDescent="0.25">
      <c r="A95" s="277"/>
      <c r="B95" s="240"/>
      <c r="C95" s="246" t="s">
        <v>66</v>
      </c>
      <c r="D95" s="252" t="str">
        <f t="shared" si="172"/>
        <v>ja</v>
      </c>
      <c r="E95" s="253"/>
      <c r="F95" s="254">
        <v>0</v>
      </c>
      <c r="G95" s="255">
        <v>0</v>
      </c>
      <c r="H95" s="165">
        <f t="shared" si="173"/>
        <v>0</v>
      </c>
      <c r="I95" s="257">
        <v>0.8</v>
      </c>
      <c r="J95" s="165">
        <f t="shared" si="174"/>
        <v>110.104</v>
      </c>
      <c r="K95" s="280">
        <v>1</v>
      </c>
      <c r="L95" s="165">
        <f t="shared" si="175"/>
        <v>137.63</v>
      </c>
      <c r="M95" s="257">
        <v>0.2</v>
      </c>
      <c r="N95" s="165">
        <f t="shared" si="176"/>
        <v>9.7270000000000021</v>
      </c>
      <c r="O95" s="280">
        <v>1.5</v>
      </c>
      <c r="P95" s="165">
        <f t="shared" si="177"/>
        <v>72.952500000000015</v>
      </c>
      <c r="Q95" s="257">
        <v>1</v>
      </c>
      <c r="R95" s="165">
        <f t="shared" si="178"/>
        <v>46.491568025135855</v>
      </c>
      <c r="S95" s="280">
        <v>1</v>
      </c>
      <c r="T95" s="165">
        <f t="shared" si="179"/>
        <v>46.491568025135855</v>
      </c>
      <c r="U95" s="257"/>
      <c r="V95" s="165">
        <f t="shared" si="180"/>
        <v>0</v>
      </c>
      <c r="W95" s="280"/>
      <c r="X95" s="165">
        <f t="shared" si="181"/>
        <v>0</v>
      </c>
      <c r="Y95" s="257"/>
      <c r="Z95" s="165">
        <f t="shared" si="182"/>
        <v>0</v>
      </c>
      <c r="AA95" s="280"/>
      <c r="AB95" s="165">
        <f t="shared" si="183"/>
        <v>0</v>
      </c>
      <c r="AC95" s="257"/>
      <c r="AD95" s="165">
        <f t="shared" si="184"/>
        <v>0</v>
      </c>
      <c r="AE95" s="280"/>
      <c r="AF95" s="165">
        <f t="shared" si="185"/>
        <v>0</v>
      </c>
      <c r="AG95" s="257"/>
      <c r="AH95" s="165">
        <f t="shared" si="186"/>
        <v>0</v>
      </c>
      <c r="AI95" s="280"/>
      <c r="AJ95" s="165">
        <f t="shared" si="187"/>
        <v>0</v>
      </c>
      <c r="AK95" s="257"/>
      <c r="AL95" s="165">
        <f t="shared" si="188"/>
        <v>0</v>
      </c>
      <c r="AM95" s="280"/>
      <c r="AN95" s="165">
        <f t="shared" si="189"/>
        <v>0</v>
      </c>
      <c r="AO95" s="257"/>
      <c r="AP95" s="165">
        <f t="shared" si="190"/>
        <v>0</v>
      </c>
      <c r="AQ95" s="280"/>
      <c r="AR95" s="165">
        <f t="shared" si="191"/>
        <v>0</v>
      </c>
      <c r="AS95" s="259">
        <v>0</v>
      </c>
      <c r="AT95" s="260">
        <f>AS95*0.9</f>
        <v>0</v>
      </c>
      <c r="AU95" s="261">
        <f>AU80</f>
        <v>0</v>
      </c>
      <c r="AV95" s="165">
        <f t="shared" si="155"/>
        <v>0</v>
      </c>
      <c r="AW95" s="262">
        <v>0</v>
      </c>
      <c r="AX95" s="170">
        <f t="shared" si="156"/>
        <v>0</v>
      </c>
      <c r="AY95" s="165">
        <f>(AU95-AX95)*AT95</f>
        <v>0</v>
      </c>
      <c r="AZ95" s="165">
        <f t="shared" si="157"/>
        <v>166.32256802513587</v>
      </c>
      <c r="BA95" s="165">
        <f t="shared" si="192"/>
        <v>207.38444302513588</v>
      </c>
      <c r="BB95" s="222">
        <f t="shared" si="159"/>
        <v>41.061875000000015</v>
      </c>
      <c r="BC95" s="264">
        <v>0.6</v>
      </c>
      <c r="BD95" s="265">
        <f>0.3*BC95*BE96</f>
        <v>1.7999999999999999E-2</v>
      </c>
      <c r="BE95" s="247"/>
      <c r="BF95" s="247"/>
    </row>
    <row r="96" spans="1:58" s="2" customFormat="1" ht="15.75" x14ac:dyDescent="0.25">
      <c r="A96" s="277"/>
      <c r="B96" s="240"/>
      <c r="C96" s="249"/>
      <c r="D96" s="140" t="str">
        <f t="shared" si="172"/>
        <v>nein</v>
      </c>
      <c r="E96" s="141"/>
      <c r="F96" s="142">
        <v>0</v>
      </c>
      <c r="G96" s="143">
        <v>0</v>
      </c>
      <c r="H96" s="144">
        <f t="shared" si="173"/>
        <v>0</v>
      </c>
      <c r="I96" s="145"/>
      <c r="J96" s="144">
        <f t="shared" si="174"/>
        <v>0</v>
      </c>
      <c r="K96" s="147"/>
      <c r="L96" s="144">
        <f t="shared" si="175"/>
        <v>0</v>
      </c>
      <c r="M96" s="145">
        <v>1</v>
      </c>
      <c r="N96" s="144">
        <f t="shared" si="176"/>
        <v>48.635000000000005</v>
      </c>
      <c r="O96" s="147">
        <v>2.5</v>
      </c>
      <c r="P96" s="144">
        <f t="shared" si="177"/>
        <v>121.58750000000001</v>
      </c>
      <c r="Q96" s="145">
        <v>1</v>
      </c>
      <c r="R96" s="144">
        <f t="shared" si="178"/>
        <v>46.491568025135855</v>
      </c>
      <c r="S96" s="147">
        <v>1.5</v>
      </c>
      <c r="T96" s="144">
        <f t="shared" si="179"/>
        <v>69.737352037703786</v>
      </c>
      <c r="U96" s="145"/>
      <c r="V96" s="144">
        <f t="shared" si="180"/>
        <v>0</v>
      </c>
      <c r="W96" s="147"/>
      <c r="X96" s="144">
        <f t="shared" si="181"/>
        <v>0</v>
      </c>
      <c r="Y96" s="145"/>
      <c r="Z96" s="144">
        <f t="shared" si="182"/>
        <v>0</v>
      </c>
      <c r="AA96" s="147"/>
      <c r="AB96" s="144">
        <f t="shared" si="183"/>
        <v>0</v>
      </c>
      <c r="AC96" s="145"/>
      <c r="AD96" s="144">
        <f t="shared" si="184"/>
        <v>0</v>
      </c>
      <c r="AE96" s="147"/>
      <c r="AF96" s="144">
        <f t="shared" si="185"/>
        <v>0</v>
      </c>
      <c r="AG96" s="145"/>
      <c r="AH96" s="144">
        <f t="shared" si="186"/>
        <v>0</v>
      </c>
      <c r="AI96" s="147"/>
      <c r="AJ96" s="144">
        <f t="shared" si="187"/>
        <v>0</v>
      </c>
      <c r="AK96" s="145"/>
      <c r="AL96" s="144">
        <f t="shared" si="188"/>
        <v>0</v>
      </c>
      <c r="AM96" s="147"/>
      <c r="AN96" s="144">
        <f t="shared" si="189"/>
        <v>0</v>
      </c>
      <c r="AO96" s="145"/>
      <c r="AP96" s="144">
        <f t="shared" si="190"/>
        <v>0</v>
      </c>
      <c r="AQ96" s="147"/>
      <c r="AR96" s="144">
        <f t="shared" si="191"/>
        <v>0</v>
      </c>
      <c r="AS96" s="148">
        <f>AS95</f>
        <v>0</v>
      </c>
      <c r="AT96" s="149">
        <f t="shared" ref="AT96" si="199">AS96*0.9</f>
        <v>0</v>
      </c>
      <c r="AU96" s="150">
        <f>AU95</f>
        <v>0</v>
      </c>
      <c r="AV96" s="144">
        <f t="shared" si="155"/>
        <v>0</v>
      </c>
      <c r="AW96" s="151">
        <f>AW95</f>
        <v>0</v>
      </c>
      <c r="AX96" s="152">
        <f t="shared" si="156"/>
        <v>0</v>
      </c>
      <c r="AY96" s="144">
        <f t="shared" ref="AY96" si="200">(AU96-AX96)*AT96</f>
        <v>0</v>
      </c>
      <c r="AZ96" s="144">
        <f t="shared" si="157"/>
        <v>95.126568025135867</v>
      </c>
      <c r="BA96" s="144">
        <f t="shared" si="192"/>
        <v>141.6352270377038</v>
      </c>
      <c r="BB96" s="153">
        <f t="shared" si="159"/>
        <v>46.508659012567932</v>
      </c>
      <c r="BC96" s="241">
        <v>0.4</v>
      </c>
      <c r="BD96" s="155">
        <f>BE96-BD95-BD81-BD80</f>
        <v>1.2000000000000004E-2</v>
      </c>
      <c r="BE96" s="285">
        <v>0.1</v>
      </c>
      <c r="BF96" s="247"/>
    </row>
    <row r="97" spans="1:59" ht="14.25" x14ac:dyDescent="0.25">
      <c r="A97" s="277"/>
      <c r="B97" s="240"/>
      <c r="C97" s="250" t="s">
        <v>67</v>
      </c>
      <c r="D97" s="252" t="str">
        <f t="shared" si="172"/>
        <v>ja</v>
      </c>
      <c r="E97" s="253" t="s">
        <v>73</v>
      </c>
      <c r="F97" s="281">
        <v>0.5</v>
      </c>
      <c r="G97" s="282">
        <v>25</v>
      </c>
      <c r="H97" s="165">
        <f t="shared" si="173"/>
        <v>26.445</v>
      </c>
      <c r="I97" s="257">
        <v>0.2</v>
      </c>
      <c r="J97" s="165">
        <f t="shared" si="174"/>
        <v>27.526</v>
      </c>
      <c r="K97" s="280">
        <v>0.4</v>
      </c>
      <c r="L97" s="165">
        <f t="shared" si="175"/>
        <v>55.052</v>
      </c>
      <c r="M97" s="257">
        <v>1</v>
      </c>
      <c r="N97" s="165">
        <f t="shared" si="176"/>
        <v>48.635000000000005</v>
      </c>
      <c r="O97" s="280">
        <v>2.5</v>
      </c>
      <c r="P97" s="165">
        <f t="shared" si="177"/>
        <v>121.58750000000001</v>
      </c>
      <c r="Q97" s="257">
        <v>1</v>
      </c>
      <c r="R97" s="165">
        <f t="shared" si="178"/>
        <v>46.491568025135855</v>
      </c>
      <c r="S97" s="280">
        <v>1</v>
      </c>
      <c r="T97" s="165">
        <f t="shared" si="179"/>
        <v>46.491568025135855</v>
      </c>
      <c r="U97" s="257"/>
      <c r="V97" s="165">
        <f t="shared" si="180"/>
        <v>0</v>
      </c>
      <c r="W97" s="280">
        <v>1</v>
      </c>
      <c r="X97" s="165">
        <f t="shared" si="181"/>
        <v>16.315354141656663</v>
      </c>
      <c r="Y97" s="257"/>
      <c r="Z97" s="165">
        <f t="shared" si="182"/>
        <v>0</v>
      </c>
      <c r="AA97" s="280"/>
      <c r="AB97" s="165">
        <f t="shared" si="183"/>
        <v>0</v>
      </c>
      <c r="AC97" s="257"/>
      <c r="AD97" s="165">
        <f t="shared" si="184"/>
        <v>0</v>
      </c>
      <c r="AE97" s="280"/>
      <c r="AF97" s="165">
        <f t="shared" si="185"/>
        <v>0</v>
      </c>
      <c r="AG97" s="257"/>
      <c r="AH97" s="165">
        <f t="shared" si="186"/>
        <v>0</v>
      </c>
      <c r="AI97" s="280"/>
      <c r="AJ97" s="165">
        <f t="shared" si="187"/>
        <v>0</v>
      </c>
      <c r="AK97" s="257"/>
      <c r="AL97" s="165">
        <f t="shared" si="188"/>
        <v>0</v>
      </c>
      <c r="AM97" s="280"/>
      <c r="AN97" s="165">
        <f t="shared" si="189"/>
        <v>0</v>
      </c>
      <c r="AO97" s="257"/>
      <c r="AP97" s="165">
        <f t="shared" si="190"/>
        <v>0</v>
      </c>
      <c r="AQ97" s="280"/>
      <c r="AR97" s="165">
        <f t="shared" si="191"/>
        <v>0</v>
      </c>
      <c r="AS97" s="259">
        <v>0</v>
      </c>
      <c r="AT97" s="260">
        <f>AS97*0.9</f>
        <v>0</v>
      </c>
      <c r="AU97" s="261">
        <f>AU82</f>
        <v>0</v>
      </c>
      <c r="AV97" s="165">
        <f t="shared" si="155"/>
        <v>0</v>
      </c>
      <c r="AW97" s="262">
        <v>0</v>
      </c>
      <c r="AX97" s="170">
        <f t="shared" si="156"/>
        <v>0</v>
      </c>
      <c r="AY97" s="165">
        <f>(AU97-AX97)*AT97</f>
        <v>0</v>
      </c>
      <c r="AZ97" s="165">
        <f t="shared" si="157"/>
        <v>122.65256802513585</v>
      </c>
      <c r="BA97" s="165">
        <f t="shared" si="192"/>
        <v>216.20179716679249</v>
      </c>
      <c r="BB97" s="222">
        <f>IF(BA97-AZ97&gt;0,BA97-AZ97,0)</f>
        <v>93.549229141656639</v>
      </c>
      <c r="BC97" s="264">
        <v>0.6</v>
      </c>
      <c r="BD97" s="265">
        <f>0.5*BC97*BE98</f>
        <v>1.4999999999999999E-2</v>
      </c>
    </row>
    <row r="98" spans="1:59" ht="14.25" x14ac:dyDescent="0.25">
      <c r="A98" s="277"/>
      <c r="B98" s="240"/>
      <c r="C98" s="251"/>
      <c r="D98" s="140" t="str">
        <f t="shared" si="172"/>
        <v>nein</v>
      </c>
      <c r="E98" s="141" t="s">
        <v>73</v>
      </c>
      <c r="F98" s="142">
        <v>1</v>
      </c>
      <c r="G98" s="143">
        <v>25</v>
      </c>
      <c r="H98" s="144">
        <f t="shared" si="173"/>
        <v>38.945</v>
      </c>
      <c r="I98" s="145"/>
      <c r="J98" s="144">
        <f t="shared" si="174"/>
        <v>0</v>
      </c>
      <c r="K98" s="147"/>
      <c r="L98" s="144">
        <f t="shared" si="175"/>
        <v>0</v>
      </c>
      <c r="M98" s="145">
        <v>1</v>
      </c>
      <c r="N98" s="144">
        <f t="shared" si="176"/>
        <v>48.635000000000005</v>
      </c>
      <c r="O98" s="147">
        <v>2.5</v>
      </c>
      <c r="P98" s="144">
        <f t="shared" si="177"/>
        <v>121.58750000000001</v>
      </c>
      <c r="Q98" s="145">
        <v>1</v>
      </c>
      <c r="R98" s="144">
        <f t="shared" si="178"/>
        <v>46.491568025135855</v>
      </c>
      <c r="S98" s="147">
        <v>1.5</v>
      </c>
      <c r="T98" s="144">
        <f t="shared" si="179"/>
        <v>69.737352037703786</v>
      </c>
      <c r="U98" s="145"/>
      <c r="V98" s="144">
        <f t="shared" si="180"/>
        <v>0</v>
      </c>
      <c r="W98" s="147">
        <v>1</v>
      </c>
      <c r="X98" s="144">
        <f t="shared" si="181"/>
        <v>16.315354141656663</v>
      </c>
      <c r="Y98" s="145"/>
      <c r="Z98" s="144">
        <f t="shared" si="182"/>
        <v>0</v>
      </c>
      <c r="AA98" s="147"/>
      <c r="AB98" s="144">
        <f t="shared" si="183"/>
        <v>0</v>
      </c>
      <c r="AC98" s="145"/>
      <c r="AD98" s="144">
        <f t="shared" si="184"/>
        <v>0</v>
      </c>
      <c r="AE98" s="147"/>
      <c r="AF98" s="144">
        <f t="shared" si="185"/>
        <v>0</v>
      </c>
      <c r="AG98" s="145"/>
      <c r="AH98" s="144">
        <f t="shared" si="186"/>
        <v>0</v>
      </c>
      <c r="AI98" s="147"/>
      <c r="AJ98" s="144">
        <f t="shared" si="187"/>
        <v>0</v>
      </c>
      <c r="AK98" s="145"/>
      <c r="AL98" s="144">
        <f t="shared" si="188"/>
        <v>0</v>
      </c>
      <c r="AM98" s="147"/>
      <c r="AN98" s="144">
        <f t="shared" si="189"/>
        <v>0</v>
      </c>
      <c r="AO98" s="145"/>
      <c r="AP98" s="144">
        <f t="shared" si="190"/>
        <v>0</v>
      </c>
      <c r="AQ98" s="147"/>
      <c r="AR98" s="144">
        <f t="shared" si="191"/>
        <v>0</v>
      </c>
      <c r="AS98" s="148">
        <f>AS97</f>
        <v>0</v>
      </c>
      <c r="AT98" s="149">
        <f t="shared" ref="AT98" si="201">AS98*0.9</f>
        <v>0</v>
      </c>
      <c r="AU98" s="150">
        <f>AU97</f>
        <v>0</v>
      </c>
      <c r="AV98" s="144">
        <f t="shared" si="155"/>
        <v>0</v>
      </c>
      <c r="AW98" s="151">
        <f>AW97</f>
        <v>0</v>
      </c>
      <c r="AX98" s="152">
        <f t="shared" si="156"/>
        <v>0</v>
      </c>
      <c r="AY98" s="144">
        <f t="shared" ref="AY98" si="202">(AU98-AX98)*AT98</f>
        <v>0</v>
      </c>
      <c r="AZ98" s="144">
        <f t="shared" si="157"/>
        <v>95.126568025135867</v>
      </c>
      <c r="BA98" s="144">
        <f t="shared" si="192"/>
        <v>196.89558117936045</v>
      </c>
      <c r="BB98" s="153">
        <f>IF(BA98-AZ98&gt;0,BA98-AZ98,0)</f>
        <v>101.76901315422458</v>
      </c>
      <c r="BC98" s="241">
        <v>0.4</v>
      </c>
      <c r="BD98" s="155">
        <f>BE98-BD97-BD83-BD82</f>
        <v>1.0000000000000002E-2</v>
      </c>
      <c r="BE98" s="285">
        <v>0.05</v>
      </c>
    </row>
    <row r="99" spans="1:59" ht="14.25" x14ac:dyDescent="0.25">
      <c r="A99" s="277"/>
      <c r="B99" s="240"/>
      <c r="C99" s="250" t="s">
        <v>68</v>
      </c>
      <c r="D99" s="252" t="str">
        <f t="shared" si="172"/>
        <v>ja</v>
      </c>
      <c r="E99" s="253"/>
      <c r="F99" s="254">
        <v>0</v>
      </c>
      <c r="G99" s="255">
        <v>0</v>
      </c>
      <c r="H99" s="256">
        <f t="shared" si="173"/>
        <v>0</v>
      </c>
      <c r="I99" s="257">
        <v>0.3</v>
      </c>
      <c r="J99" s="256">
        <f t="shared" si="174"/>
        <v>41.288999999999994</v>
      </c>
      <c r="K99" s="258">
        <v>0.5</v>
      </c>
      <c r="L99" s="256">
        <f t="shared" si="175"/>
        <v>68.814999999999998</v>
      </c>
      <c r="M99" s="257">
        <v>0.7</v>
      </c>
      <c r="N99" s="256">
        <f t="shared" si="176"/>
        <v>34.044499999999999</v>
      </c>
      <c r="O99" s="258">
        <v>1</v>
      </c>
      <c r="P99" s="256">
        <f t="shared" si="177"/>
        <v>48.635000000000005</v>
      </c>
      <c r="Q99" s="257">
        <v>0</v>
      </c>
      <c r="R99" s="256">
        <f t="shared" si="178"/>
        <v>0</v>
      </c>
      <c r="S99" s="258">
        <v>0.5</v>
      </c>
      <c r="T99" s="256">
        <f t="shared" si="179"/>
        <v>23.245784012567928</v>
      </c>
      <c r="U99" s="257"/>
      <c r="V99" s="256">
        <f t="shared" si="180"/>
        <v>0</v>
      </c>
      <c r="W99" s="258"/>
      <c r="X99" s="256">
        <f t="shared" si="181"/>
        <v>0</v>
      </c>
      <c r="Y99" s="257"/>
      <c r="Z99" s="256">
        <f t="shared" si="182"/>
        <v>0</v>
      </c>
      <c r="AA99" s="258"/>
      <c r="AB99" s="256">
        <f t="shared" si="183"/>
        <v>0</v>
      </c>
      <c r="AC99" s="257"/>
      <c r="AD99" s="256">
        <f t="shared" si="184"/>
        <v>0</v>
      </c>
      <c r="AE99" s="258"/>
      <c r="AF99" s="256">
        <f t="shared" si="185"/>
        <v>0</v>
      </c>
      <c r="AG99" s="257"/>
      <c r="AH99" s="256">
        <f t="shared" si="186"/>
        <v>0</v>
      </c>
      <c r="AI99" s="258"/>
      <c r="AJ99" s="256">
        <f t="shared" si="187"/>
        <v>0</v>
      </c>
      <c r="AK99" s="257"/>
      <c r="AL99" s="256">
        <f t="shared" si="188"/>
        <v>0</v>
      </c>
      <c r="AM99" s="258"/>
      <c r="AN99" s="256">
        <f t="shared" si="189"/>
        <v>0</v>
      </c>
      <c r="AO99" s="257"/>
      <c r="AP99" s="256">
        <f t="shared" si="190"/>
        <v>0</v>
      </c>
      <c r="AQ99" s="258"/>
      <c r="AR99" s="256">
        <f t="shared" si="191"/>
        <v>0</v>
      </c>
      <c r="AS99" s="259">
        <v>0</v>
      </c>
      <c r="AT99" s="260">
        <f>AS99*0.9</f>
        <v>0</v>
      </c>
      <c r="AU99" s="261">
        <f>AU84</f>
        <v>0</v>
      </c>
      <c r="AV99" s="256">
        <f t="shared" si="155"/>
        <v>0</v>
      </c>
      <c r="AW99" s="262">
        <v>0</v>
      </c>
      <c r="AX99" s="263">
        <f t="shared" si="156"/>
        <v>0</v>
      </c>
      <c r="AY99" s="256">
        <f>(AU99-AX99)*AT99</f>
        <v>0</v>
      </c>
      <c r="AZ99" s="256">
        <f t="shared" si="157"/>
        <v>75.333499999999987</v>
      </c>
      <c r="BA99" s="256">
        <f t="shared" si="192"/>
        <v>91.006159012567934</v>
      </c>
      <c r="BB99" s="222">
        <f t="shared" si="159"/>
        <v>15.672659012567948</v>
      </c>
      <c r="BC99" s="264">
        <v>0.4</v>
      </c>
      <c r="BD99" s="265">
        <f>0.8*BC99*BE100</f>
        <v>0.17600000000000002</v>
      </c>
    </row>
    <row r="100" spans="1:59" ht="15" thickBot="1" x14ac:dyDescent="0.3">
      <c r="A100" s="277"/>
      <c r="B100" s="240"/>
      <c r="C100" s="266"/>
      <c r="D100" s="140" t="str">
        <f t="shared" si="172"/>
        <v>nein</v>
      </c>
      <c r="E100" s="141"/>
      <c r="F100" s="142">
        <v>0</v>
      </c>
      <c r="G100" s="143">
        <v>0</v>
      </c>
      <c r="H100" s="144">
        <f t="shared" si="173"/>
        <v>0</v>
      </c>
      <c r="I100" s="145"/>
      <c r="J100" s="144">
        <f t="shared" si="174"/>
        <v>0</v>
      </c>
      <c r="K100" s="147"/>
      <c r="L100" s="144">
        <f t="shared" si="175"/>
        <v>0</v>
      </c>
      <c r="M100" s="145">
        <v>1</v>
      </c>
      <c r="N100" s="144">
        <f t="shared" si="176"/>
        <v>48.635000000000005</v>
      </c>
      <c r="O100" s="147">
        <v>1.5</v>
      </c>
      <c r="P100" s="144">
        <f t="shared" si="177"/>
        <v>72.952500000000015</v>
      </c>
      <c r="Q100" s="145">
        <v>0.5</v>
      </c>
      <c r="R100" s="144">
        <f t="shared" si="178"/>
        <v>23.245784012567928</v>
      </c>
      <c r="S100" s="147">
        <v>1</v>
      </c>
      <c r="T100" s="144">
        <f t="shared" si="179"/>
        <v>46.491568025135855</v>
      </c>
      <c r="U100" s="145"/>
      <c r="V100" s="144">
        <f t="shared" si="180"/>
        <v>0</v>
      </c>
      <c r="W100" s="147"/>
      <c r="X100" s="144">
        <f t="shared" si="181"/>
        <v>0</v>
      </c>
      <c r="Y100" s="145"/>
      <c r="Z100" s="144">
        <f t="shared" si="182"/>
        <v>0</v>
      </c>
      <c r="AA100" s="147"/>
      <c r="AB100" s="144">
        <f t="shared" si="183"/>
        <v>0</v>
      </c>
      <c r="AC100" s="145"/>
      <c r="AD100" s="144">
        <f t="shared" si="184"/>
        <v>0</v>
      </c>
      <c r="AE100" s="147"/>
      <c r="AF100" s="144">
        <f t="shared" si="185"/>
        <v>0</v>
      </c>
      <c r="AG100" s="145"/>
      <c r="AH100" s="144">
        <f t="shared" si="186"/>
        <v>0</v>
      </c>
      <c r="AI100" s="147"/>
      <c r="AJ100" s="144">
        <f t="shared" si="187"/>
        <v>0</v>
      </c>
      <c r="AK100" s="145"/>
      <c r="AL100" s="144">
        <f t="shared" si="188"/>
        <v>0</v>
      </c>
      <c r="AM100" s="147"/>
      <c r="AN100" s="144">
        <f t="shared" si="189"/>
        <v>0</v>
      </c>
      <c r="AO100" s="145"/>
      <c r="AP100" s="144">
        <f t="shared" si="190"/>
        <v>0</v>
      </c>
      <c r="AQ100" s="147"/>
      <c r="AR100" s="144">
        <f t="shared" si="191"/>
        <v>0</v>
      </c>
      <c r="AS100" s="148">
        <f>AS99</f>
        <v>0</v>
      </c>
      <c r="AT100" s="149">
        <f t="shared" ref="AT100" si="203">AS100*0.9</f>
        <v>0</v>
      </c>
      <c r="AU100" s="150">
        <f>AU99</f>
        <v>0</v>
      </c>
      <c r="AV100" s="144">
        <f t="shared" si="155"/>
        <v>0</v>
      </c>
      <c r="AW100" s="151">
        <f>AW99</f>
        <v>0</v>
      </c>
      <c r="AX100" s="152">
        <f t="shared" si="156"/>
        <v>0</v>
      </c>
      <c r="AY100" s="144">
        <f t="shared" ref="AY100" si="204">(AU100-AX100)*AT100</f>
        <v>0</v>
      </c>
      <c r="AZ100" s="144">
        <f t="shared" si="157"/>
        <v>71.880784012567929</v>
      </c>
      <c r="BA100" s="144">
        <f t="shared" si="192"/>
        <v>69.754443025135856</v>
      </c>
      <c r="BB100" s="153">
        <f t="shared" si="159"/>
        <v>0</v>
      </c>
      <c r="BC100" s="241">
        <v>0.6</v>
      </c>
      <c r="BD100" s="155">
        <f>BE100-BD99-BD85-BD84</f>
        <v>0.2639999999999999</v>
      </c>
      <c r="BE100" s="223">
        <f>1-BE90-BE92-BE94-BE96-BE98</f>
        <v>0.54999999999999993</v>
      </c>
    </row>
    <row r="101" spans="1:59" s="239" customFormat="1" ht="14.25" x14ac:dyDescent="0.25">
      <c r="A101" s="277"/>
      <c r="B101" s="240"/>
      <c r="C101" s="267" t="s">
        <v>69</v>
      </c>
      <c r="D101" s="121" t="s">
        <v>62</v>
      </c>
      <c r="E101" s="194"/>
      <c r="F101" s="195"/>
      <c r="G101" s="196"/>
      <c r="H101" s="197"/>
      <c r="I101" s="198"/>
      <c r="J101" s="197"/>
      <c r="K101" s="199"/>
      <c r="L101" s="197"/>
      <c r="M101" s="198"/>
      <c r="N101" s="197"/>
      <c r="O101" s="199"/>
      <c r="P101" s="197"/>
      <c r="Q101" s="198"/>
      <c r="R101" s="197"/>
      <c r="S101" s="199"/>
      <c r="T101" s="197"/>
      <c r="U101" s="198"/>
      <c r="V101" s="197"/>
      <c r="W101" s="199"/>
      <c r="X101" s="197"/>
      <c r="Y101" s="198"/>
      <c r="Z101" s="197"/>
      <c r="AA101" s="199"/>
      <c r="AB101" s="197"/>
      <c r="AC101" s="198"/>
      <c r="AD101" s="197"/>
      <c r="AE101" s="199"/>
      <c r="AF101" s="197"/>
      <c r="AG101" s="198"/>
      <c r="AH101" s="197"/>
      <c r="AI101" s="199"/>
      <c r="AJ101" s="197"/>
      <c r="AK101" s="198"/>
      <c r="AL101" s="197"/>
      <c r="AM101" s="199"/>
      <c r="AN101" s="197"/>
      <c r="AO101" s="198"/>
      <c r="AP101" s="197"/>
      <c r="AQ101" s="199"/>
      <c r="AR101" s="197"/>
      <c r="AS101" s="200"/>
      <c r="AT101" s="200"/>
      <c r="AU101" s="201"/>
      <c r="AV101" s="197"/>
      <c r="AW101" s="201"/>
      <c r="AX101" s="201"/>
      <c r="AY101" s="197"/>
      <c r="AZ101" s="197"/>
      <c r="BA101" s="197"/>
      <c r="BB101" s="220">
        <f>(BB89*BD89+BB91*BD91+BB93*BD93+BB95*BD95+BB97*BD97+BB99*BD99)/(BD89+BD91+BD93+BD95+BD97+BD99)</f>
        <v>29.376313170760021</v>
      </c>
      <c r="BC101" s="203"/>
      <c r="BD101" s="136">
        <f>BD89+BD91+BD93+BD95+BD97+BD99</f>
        <v>0.27199990000000002</v>
      </c>
      <c r="BE101" s="13"/>
      <c r="BF101" s="13"/>
    </row>
    <row r="102" spans="1:59" s="239" customFormat="1" ht="15" thickBot="1" x14ac:dyDescent="0.3">
      <c r="A102" s="277"/>
      <c r="B102" s="240"/>
      <c r="C102" s="266"/>
      <c r="D102" s="178" t="s">
        <v>64</v>
      </c>
      <c r="E102" s="204"/>
      <c r="F102" s="205"/>
      <c r="G102" s="206"/>
      <c r="H102" s="115"/>
      <c r="I102" s="207"/>
      <c r="J102" s="115"/>
      <c r="K102" s="208"/>
      <c r="L102" s="115"/>
      <c r="M102" s="207"/>
      <c r="N102" s="115"/>
      <c r="O102" s="208"/>
      <c r="P102" s="115"/>
      <c r="Q102" s="207"/>
      <c r="R102" s="115"/>
      <c r="S102" s="208"/>
      <c r="T102" s="115"/>
      <c r="U102" s="207"/>
      <c r="V102" s="115"/>
      <c r="W102" s="208"/>
      <c r="X102" s="115"/>
      <c r="Y102" s="207"/>
      <c r="Z102" s="115"/>
      <c r="AA102" s="208"/>
      <c r="AB102" s="115"/>
      <c r="AC102" s="207"/>
      <c r="AD102" s="115"/>
      <c r="AE102" s="208"/>
      <c r="AF102" s="115"/>
      <c r="AG102" s="207"/>
      <c r="AH102" s="115"/>
      <c r="AI102" s="208"/>
      <c r="AJ102" s="115"/>
      <c r="AK102" s="207"/>
      <c r="AL102" s="115"/>
      <c r="AM102" s="208"/>
      <c r="AN102" s="115"/>
      <c r="AO102" s="207"/>
      <c r="AP102" s="115"/>
      <c r="AQ102" s="208"/>
      <c r="AR102" s="115"/>
      <c r="AS102" s="209"/>
      <c r="AT102" s="209"/>
      <c r="AU102" s="210"/>
      <c r="AV102" s="115"/>
      <c r="AW102" s="210"/>
      <c r="AX102" s="210"/>
      <c r="AY102" s="115"/>
      <c r="AZ102" s="115"/>
      <c r="BA102" s="115"/>
      <c r="BB102" s="225">
        <f>(BB90*BD90+BB92*BD92+BB94*BD94+BB96*BD96+BB98*BD98+BB100*BD100)/(BD90+BD92+BD94+BD96+BD98+BD100)</f>
        <v>9.7874531382271357</v>
      </c>
      <c r="BC102" s="211"/>
      <c r="BD102" s="192">
        <f>BD90+BD92+BD94+BD96+BD98+BD100</f>
        <v>0.31966659999999991</v>
      </c>
      <c r="BE102" s="13"/>
      <c r="BF102" s="13"/>
    </row>
    <row r="103" spans="1:59" s="239" customFormat="1" ht="15.75" thickBot="1" x14ac:dyDescent="0.3">
      <c r="A103" s="277"/>
      <c r="B103" s="268"/>
      <c r="C103" s="266"/>
      <c r="D103" s="286" t="s">
        <v>70</v>
      </c>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8">
        <f>(BB101*BD101+BB102*BD102)/(BD101+BD102)</f>
        <v>18.792809990377702</v>
      </c>
      <c r="BC103" s="289"/>
      <c r="BD103" s="290">
        <f>BD101+BD102</f>
        <v>0.59166649999999987</v>
      </c>
      <c r="BE103" s="13"/>
      <c r="BF103" s="13"/>
    </row>
    <row r="104" spans="1:59" s="239" customFormat="1" ht="16.5" thickBot="1" x14ac:dyDescent="0.3">
      <c r="A104" s="229" t="s">
        <v>74</v>
      </c>
      <c r="B104" s="230"/>
      <c r="C104" s="230"/>
      <c r="D104" s="231"/>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3">
        <f>BB88*(BD88)+BB103*(BD103)</f>
        <v>39.388806886442886</v>
      </c>
      <c r="BC104" s="291"/>
      <c r="BD104" s="292"/>
      <c r="BE104" s="13"/>
      <c r="BF104" s="13"/>
    </row>
    <row r="105" spans="1:59" ht="14.25" x14ac:dyDescent="0.25">
      <c r="A105" s="275" t="s">
        <v>66</v>
      </c>
      <c r="B105" s="70" t="str">
        <f>B89</f>
        <v>nein</v>
      </c>
      <c r="C105" s="276" t="s">
        <v>61</v>
      </c>
      <c r="D105" s="252" t="str">
        <f t="shared" ref="D105:D116" si="205">D89</f>
        <v>ja</v>
      </c>
      <c r="E105" s="253"/>
      <c r="F105" s="254">
        <v>0</v>
      </c>
      <c r="G105" s="255">
        <v>0</v>
      </c>
      <c r="H105" s="134">
        <f t="shared" ref="H105:H116" si="206">IF(F105=0,0,F105*G105+$G$8+$G$9)</f>
        <v>0</v>
      </c>
      <c r="I105" s="257">
        <v>0.1</v>
      </c>
      <c r="J105" s="134">
        <f t="shared" ref="J105:J116" si="207">I105*(I$13*$B$9+K$13)</f>
        <v>13.763</v>
      </c>
      <c r="K105" s="280">
        <v>0.1</v>
      </c>
      <c r="L105" s="134">
        <f t="shared" ref="L105:L116" si="208">K105*(I$13*$B$9+K$13)</f>
        <v>13.763</v>
      </c>
      <c r="M105" s="257">
        <v>0.9</v>
      </c>
      <c r="N105" s="134">
        <f t="shared" ref="N105:N116" si="209">M105*(M$13*$B$9+O$13)</f>
        <v>43.771500000000003</v>
      </c>
      <c r="O105" s="280">
        <v>0.9</v>
      </c>
      <c r="P105" s="134">
        <f t="shared" ref="P105:P116" si="210">O105*(M$13*$B$9+O$13)</f>
        <v>43.771500000000003</v>
      </c>
      <c r="Q105" s="257">
        <v>0.5</v>
      </c>
      <c r="R105" s="134">
        <f t="shared" ref="R105:R116" si="211">Q105*(Q$13*$B$9+S$13)</f>
        <v>23.245784012567928</v>
      </c>
      <c r="S105" s="280">
        <v>1</v>
      </c>
      <c r="T105" s="134">
        <f t="shared" ref="T105:T116" si="212">S105*(Q$13*$B$9+S$13)</f>
        <v>46.491568025135855</v>
      </c>
      <c r="U105" s="257"/>
      <c r="V105" s="134">
        <f t="shared" ref="V105:V116" si="213">U105*(U$13*$B$9+W$13)</f>
        <v>0</v>
      </c>
      <c r="W105" s="280"/>
      <c r="X105" s="134">
        <f t="shared" ref="X105:X116" si="214">W105*(U$13*$B$9+W$13)</f>
        <v>0</v>
      </c>
      <c r="Y105" s="257"/>
      <c r="Z105" s="134">
        <f t="shared" ref="Z105:Z116" si="215">Y105*(Y$13*$B$9+AA$13)</f>
        <v>0</v>
      </c>
      <c r="AA105" s="280"/>
      <c r="AB105" s="134">
        <f t="shared" ref="AB105:AB116" si="216">AA105*(Y$13*$B$9+AA$13)</f>
        <v>0</v>
      </c>
      <c r="AC105" s="257"/>
      <c r="AD105" s="134">
        <f t="shared" ref="AD105:AD116" si="217">AC105*(AC$13*$B$9+AE$13)</f>
        <v>0</v>
      </c>
      <c r="AE105" s="280"/>
      <c r="AF105" s="134">
        <f t="shared" ref="AF105:AF116" si="218">AE105*(AC$13*$B$9+AE$13)</f>
        <v>0</v>
      </c>
      <c r="AG105" s="257"/>
      <c r="AH105" s="134">
        <f t="shared" ref="AH105:AH116" si="219">AG105*(AG$13*$B$9+AI$13)</f>
        <v>0</v>
      </c>
      <c r="AI105" s="280"/>
      <c r="AJ105" s="134">
        <f t="shared" ref="AJ105:AJ116" si="220">AI105*(AG$13*$B$9+AI$13)</f>
        <v>0</v>
      </c>
      <c r="AK105" s="257"/>
      <c r="AL105" s="134">
        <f t="shared" ref="AL105:AL116" si="221">AK105*(AK$13*$B$9+AM$13)</f>
        <v>0</v>
      </c>
      <c r="AM105" s="280"/>
      <c r="AN105" s="134">
        <f t="shared" ref="AN105:AN116" si="222">AM105*(AK$13*$B$9+AM$13)</f>
        <v>0</v>
      </c>
      <c r="AO105" s="257"/>
      <c r="AP105" s="134">
        <f t="shared" ref="AP105:AP116" si="223">AO105*(AO$13*$B$9+AQ$13)</f>
        <v>0</v>
      </c>
      <c r="AQ105" s="280"/>
      <c r="AR105" s="134">
        <f t="shared" ref="AR105:AR116" si="224">AQ105*(AO$13*$B$9+AQ$13)</f>
        <v>0</v>
      </c>
      <c r="AS105" s="259">
        <v>0</v>
      </c>
      <c r="AT105" s="260">
        <f>AS105*0.9</f>
        <v>0</v>
      </c>
      <c r="AU105" s="261">
        <v>0</v>
      </c>
      <c r="AV105" s="134">
        <f t="shared" si="155"/>
        <v>0</v>
      </c>
      <c r="AW105" s="262">
        <v>0</v>
      </c>
      <c r="AX105" s="133">
        <f t="shared" si="156"/>
        <v>0</v>
      </c>
      <c r="AY105" s="134">
        <f>(AU105-AX105)*AT105</f>
        <v>0</v>
      </c>
      <c r="AZ105" s="134">
        <f t="shared" si="157"/>
        <v>80.780284012567932</v>
      </c>
      <c r="BA105" s="134">
        <f t="shared" ref="BA105:BA116" si="225">IF(SUM(AQ105+AE105+AA105+W105+S105+O105+K105)=0,0,H105+L105+P105+T105+X105+AB105+AF105+AJ105+AN105+AR105+AV105+AY105-$G$11)</f>
        <v>54.336443025135857</v>
      </c>
      <c r="BB105" s="222">
        <f t="shared" si="159"/>
        <v>0</v>
      </c>
      <c r="BC105" s="264">
        <v>0.6</v>
      </c>
      <c r="BD105" s="265">
        <f>BC105*BE106</f>
        <v>0.03</v>
      </c>
      <c r="BG105" s="293"/>
    </row>
    <row r="106" spans="1:59" ht="14.25" x14ac:dyDescent="0.25">
      <c r="A106" s="277"/>
      <c r="B106" s="294"/>
      <c r="C106" s="278"/>
      <c r="D106" s="140" t="str">
        <f t="shared" si="205"/>
        <v>nein</v>
      </c>
      <c r="E106" s="141"/>
      <c r="F106" s="142">
        <v>0</v>
      </c>
      <c r="G106" s="143">
        <v>0</v>
      </c>
      <c r="H106" s="153">
        <f t="shared" si="206"/>
        <v>0</v>
      </c>
      <c r="I106" s="145">
        <v>0</v>
      </c>
      <c r="J106" s="153">
        <f t="shared" si="207"/>
        <v>0</v>
      </c>
      <c r="K106" s="147"/>
      <c r="L106" s="153">
        <f t="shared" si="208"/>
        <v>0</v>
      </c>
      <c r="M106" s="145">
        <v>1</v>
      </c>
      <c r="N106" s="153">
        <f t="shared" si="209"/>
        <v>48.635000000000005</v>
      </c>
      <c r="O106" s="147">
        <v>1</v>
      </c>
      <c r="P106" s="153">
        <f t="shared" si="210"/>
        <v>48.635000000000005</v>
      </c>
      <c r="Q106" s="145">
        <v>0.5</v>
      </c>
      <c r="R106" s="153">
        <f t="shared" si="211"/>
        <v>23.245784012567928</v>
      </c>
      <c r="S106" s="147">
        <v>1</v>
      </c>
      <c r="T106" s="153">
        <f t="shared" si="212"/>
        <v>46.491568025135855</v>
      </c>
      <c r="U106" s="145"/>
      <c r="V106" s="153">
        <f t="shared" si="213"/>
        <v>0</v>
      </c>
      <c r="W106" s="147"/>
      <c r="X106" s="153">
        <f t="shared" si="214"/>
        <v>0</v>
      </c>
      <c r="Y106" s="145"/>
      <c r="Z106" s="153">
        <f t="shared" si="215"/>
        <v>0</v>
      </c>
      <c r="AA106" s="147"/>
      <c r="AB106" s="153">
        <f t="shared" si="216"/>
        <v>0</v>
      </c>
      <c r="AC106" s="145"/>
      <c r="AD106" s="153">
        <f t="shared" si="217"/>
        <v>0</v>
      </c>
      <c r="AE106" s="147"/>
      <c r="AF106" s="153">
        <f t="shared" si="218"/>
        <v>0</v>
      </c>
      <c r="AG106" s="145"/>
      <c r="AH106" s="153">
        <f t="shared" si="219"/>
        <v>0</v>
      </c>
      <c r="AI106" s="147"/>
      <c r="AJ106" s="153">
        <f t="shared" si="220"/>
        <v>0</v>
      </c>
      <c r="AK106" s="145"/>
      <c r="AL106" s="153">
        <f t="shared" si="221"/>
        <v>0</v>
      </c>
      <c r="AM106" s="147"/>
      <c r="AN106" s="153">
        <f t="shared" si="222"/>
        <v>0</v>
      </c>
      <c r="AO106" s="145"/>
      <c r="AP106" s="153">
        <f t="shared" si="223"/>
        <v>0</v>
      </c>
      <c r="AQ106" s="147"/>
      <c r="AR106" s="153">
        <f t="shared" si="224"/>
        <v>0</v>
      </c>
      <c r="AS106" s="148">
        <f>AS105</f>
        <v>0</v>
      </c>
      <c r="AT106" s="149">
        <f t="shared" ref="AT106" si="226">AS106*0.9</f>
        <v>0</v>
      </c>
      <c r="AU106" s="150">
        <f>AU105</f>
        <v>0</v>
      </c>
      <c r="AV106" s="153">
        <f t="shared" si="155"/>
        <v>0</v>
      </c>
      <c r="AW106" s="151">
        <f>AW105</f>
        <v>0</v>
      </c>
      <c r="AX106" s="152">
        <f t="shared" si="156"/>
        <v>0</v>
      </c>
      <c r="AY106" s="153">
        <f t="shared" ref="AY106" si="227">(AU106-AX106)*AT106</f>
        <v>0</v>
      </c>
      <c r="AZ106" s="153">
        <f t="shared" si="157"/>
        <v>71.880784012567929</v>
      </c>
      <c r="BA106" s="153">
        <f t="shared" si="225"/>
        <v>45.436943025135868</v>
      </c>
      <c r="BB106" s="153">
        <f t="shared" si="159"/>
        <v>0</v>
      </c>
      <c r="BC106" s="241">
        <v>0.4</v>
      </c>
      <c r="BD106" s="155">
        <f>BE106-BD105</f>
        <v>2.0000000000000004E-2</v>
      </c>
      <c r="BE106" s="285">
        <v>0.05</v>
      </c>
      <c r="BG106" s="293"/>
    </row>
    <row r="107" spans="1:59" ht="14.25" x14ac:dyDescent="0.25">
      <c r="A107" s="277"/>
      <c r="B107" s="294"/>
      <c r="C107" s="279" t="s">
        <v>63</v>
      </c>
      <c r="D107" s="252" t="str">
        <f t="shared" si="205"/>
        <v>ja</v>
      </c>
      <c r="E107" s="253"/>
      <c r="F107" s="254">
        <v>0</v>
      </c>
      <c r="G107" s="255">
        <v>0</v>
      </c>
      <c r="H107" s="165">
        <f t="shared" si="206"/>
        <v>0</v>
      </c>
      <c r="I107" s="257">
        <v>0.6</v>
      </c>
      <c r="J107" s="165">
        <f t="shared" si="207"/>
        <v>82.577999999999989</v>
      </c>
      <c r="K107" s="280">
        <v>0.7</v>
      </c>
      <c r="L107" s="165">
        <f t="shared" si="208"/>
        <v>96.340999999999994</v>
      </c>
      <c r="M107" s="257">
        <v>0.5</v>
      </c>
      <c r="N107" s="165">
        <f t="shared" si="209"/>
        <v>24.317500000000003</v>
      </c>
      <c r="O107" s="280">
        <v>1.5</v>
      </c>
      <c r="P107" s="165">
        <f t="shared" si="210"/>
        <v>72.952500000000015</v>
      </c>
      <c r="Q107" s="257">
        <v>1</v>
      </c>
      <c r="R107" s="165">
        <f t="shared" si="211"/>
        <v>46.491568025135855</v>
      </c>
      <c r="S107" s="280">
        <v>1</v>
      </c>
      <c r="T107" s="165">
        <f t="shared" si="212"/>
        <v>46.491568025135855</v>
      </c>
      <c r="U107" s="257"/>
      <c r="V107" s="165">
        <f t="shared" si="213"/>
        <v>0</v>
      </c>
      <c r="W107" s="280"/>
      <c r="X107" s="165">
        <f t="shared" si="214"/>
        <v>0</v>
      </c>
      <c r="Y107" s="257">
        <v>1</v>
      </c>
      <c r="Z107" s="165">
        <f t="shared" si="215"/>
        <v>52.820476190476192</v>
      </c>
      <c r="AA107" s="280">
        <v>1</v>
      </c>
      <c r="AB107" s="165">
        <f t="shared" si="216"/>
        <v>52.820476190476192</v>
      </c>
      <c r="AC107" s="257"/>
      <c r="AD107" s="165">
        <f t="shared" si="217"/>
        <v>0</v>
      </c>
      <c r="AE107" s="280"/>
      <c r="AF107" s="165">
        <f t="shared" si="218"/>
        <v>0</v>
      </c>
      <c r="AG107" s="257"/>
      <c r="AH107" s="165">
        <f t="shared" si="219"/>
        <v>0</v>
      </c>
      <c r="AI107" s="280"/>
      <c r="AJ107" s="165">
        <f t="shared" si="220"/>
        <v>0</v>
      </c>
      <c r="AK107" s="257"/>
      <c r="AL107" s="165">
        <f t="shared" si="221"/>
        <v>0</v>
      </c>
      <c r="AM107" s="280"/>
      <c r="AN107" s="165">
        <f t="shared" si="222"/>
        <v>0</v>
      </c>
      <c r="AO107" s="257"/>
      <c r="AP107" s="165">
        <f t="shared" si="223"/>
        <v>0</v>
      </c>
      <c r="AQ107" s="280"/>
      <c r="AR107" s="165">
        <f t="shared" si="224"/>
        <v>0</v>
      </c>
      <c r="AS107" s="259">
        <v>0</v>
      </c>
      <c r="AT107" s="260">
        <f>AS107*0.9</f>
        <v>0</v>
      </c>
      <c r="AU107" s="261">
        <f>AU105</f>
        <v>0</v>
      </c>
      <c r="AV107" s="165">
        <f t="shared" si="155"/>
        <v>0</v>
      </c>
      <c r="AW107" s="262">
        <v>0</v>
      </c>
      <c r="AX107" s="170">
        <f t="shared" si="156"/>
        <v>0</v>
      </c>
      <c r="AY107" s="165">
        <f>(AU107-AX107)*AT107</f>
        <v>0</v>
      </c>
      <c r="AZ107" s="165">
        <f t="shared" si="157"/>
        <v>206.20754421561205</v>
      </c>
      <c r="BA107" s="165">
        <f t="shared" si="225"/>
        <v>218.91591921561204</v>
      </c>
      <c r="BB107" s="222">
        <f t="shared" si="159"/>
        <v>12.70837499999999</v>
      </c>
      <c r="BC107" s="264">
        <v>0.7</v>
      </c>
      <c r="BD107" s="265">
        <f>BC107*BE108</f>
        <v>0.24499999999999997</v>
      </c>
    </row>
    <row r="108" spans="1:59" ht="14.25" x14ac:dyDescent="0.25">
      <c r="A108" s="277"/>
      <c r="B108" s="294"/>
      <c r="C108" s="278"/>
      <c r="D108" s="140" t="str">
        <f t="shared" si="205"/>
        <v>nein</v>
      </c>
      <c r="E108" s="141"/>
      <c r="F108" s="142">
        <v>0</v>
      </c>
      <c r="G108" s="143">
        <v>0</v>
      </c>
      <c r="H108" s="144">
        <f t="shared" si="206"/>
        <v>0</v>
      </c>
      <c r="I108" s="145"/>
      <c r="J108" s="144">
        <f t="shared" si="207"/>
        <v>0</v>
      </c>
      <c r="K108" s="147"/>
      <c r="L108" s="144">
        <f t="shared" si="208"/>
        <v>0</v>
      </c>
      <c r="M108" s="145">
        <v>1</v>
      </c>
      <c r="N108" s="144">
        <f t="shared" si="209"/>
        <v>48.635000000000005</v>
      </c>
      <c r="O108" s="147">
        <v>2</v>
      </c>
      <c r="P108" s="144">
        <f t="shared" si="210"/>
        <v>97.27000000000001</v>
      </c>
      <c r="Q108" s="145">
        <v>1</v>
      </c>
      <c r="R108" s="144">
        <f t="shared" si="211"/>
        <v>46.491568025135855</v>
      </c>
      <c r="S108" s="147">
        <v>1.5</v>
      </c>
      <c r="T108" s="144">
        <f t="shared" si="212"/>
        <v>69.737352037703786</v>
      </c>
      <c r="U108" s="145"/>
      <c r="V108" s="144">
        <f t="shared" si="213"/>
        <v>0</v>
      </c>
      <c r="W108" s="147"/>
      <c r="X108" s="144">
        <f t="shared" si="214"/>
        <v>0</v>
      </c>
      <c r="Y108" s="145">
        <v>1</v>
      </c>
      <c r="Z108" s="144">
        <f t="shared" si="215"/>
        <v>52.820476190476192</v>
      </c>
      <c r="AA108" s="147">
        <v>1</v>
      </c>
      <c r="AB108" s="144">
        <f t="shared" si="216"/>
        <v>52.820476190476192</v>
      </c>
      <c r="AC108" s="145"/>
      <c r="AD108" s="144">
        <f t="shared" si="217"/>
        <v>0</v>
      </c>
      <c r="AE108" s="147"/>
      <c r="AF108" s="144">
        <f t="shared" si="218"/>
        <v>0</v>
      </c>
      <c r="AG108" s="145"/>
      <c r="AH108" s="144">
        <f t="shared" si="219"/>
        <v>0</v>
      </c>
      <c r="AI108" s="147"/>
      <c r="AJ108" s="144">
        <f t="shared" si="220"/>
        <v>0</v>
      </c>
      <c r="AK108" s="145"/>
      <c r="AL108" s="144">
        <f t="shared" si="221"/>
        <v>0</v>
      </c>
      <c r="AM108" s="147"/>
      <c r="AN108" s="144">
        <f t="shared" si="222"/>
        <v>0</v>
      </c>
      <c r="AO108" s="145"/>
      <c r="AP108" s="144">
        <f t="shared" si="223"/>
        <v>0</v>
      </c>
      <c r="AQ108" s="147"/>
      <c r="AR108" s="144">
        <f t="shared" si="224"/>
        <v>0</v>
      </c>
      <c r="AS108" s="148">
        <f>AS107</f>
        <v>0</v>
      </c>
      <c r="AT108" s="149">
        <f t="shared" ref="AT108" si="228">AS108*0.9</f>
        <v>0</v>
      </c>
      <c r="AU108" s="150">
        <f>AU107</f>
        <v>0</v>
      </c>
      <c r="AV108" s="144">
        <f t="shared" si="155"/>
        <v>0</v>
      </c>
      <c r="AW108" s="151">
        <f>AW107</f>
        <v>0</v>
      </c>
      <c r="AX108" s="152">
        <f t="shared" si="156"/>
        <v>0</v>
      </c>
      <c r="AY108" s="144">
        <f>(AU108-AX108)*AT108</f>
        <v>0</v>
      </c>
      <c r="AZ108" s="144">
        <f t="shared" si="157"/>
        <v>147.94704421561207</v>
      </c>
      <c r="BA108" s="144">
        <f t="shared" si="225"/>
        <v>170.13820322818</v>
      </c>
      <c r="BB108" s="153">
        <f t="shared" si="159"/>
        <v>22.191159012567937</v>
      </c>
      <c r="BC108" s="241">
        <v>0.3</v>
      </c>
      <c r="BD108" s="155">
        <f>BE108-BD107</f>
        <v>0.10500000000000001</v>
      </c>
      <c r="BE108" s="285">
        <v>0.35</v>
      </c>
    </row>
    <row r="109" spans="1:59" ht="14.25" x14ac:dyDescent="0.25">
      <c r="A109" s="277"/>
      <c r="B109" s="294"/>
      <c r="C109" s="244" t="s">
        <v>65</v>
      </c>
      <c r="D109" s="252" t="str">
        <f t="shared" si="205"/>
        <v>ja</v>
      </c>
      <c r="E109" s="253"/>
      <c r="F109" s="254">
        <v>0</v>
      </c>
      <c r="G109" s="255">
        <v>0</v>
      </c>
      <c r="H109" s="165">
        <f t="shared" si="206"/>
        <v>0</v>
      </c>
      <c r="I109" s="257">
        <v>0.8</v>
      </c>
      <c r="J109" s="165">
        <f t="shared" si="207"/>
        <v>110.104</v>
      </c>
      <c r="K109" s="280">
        <v>1</v>
      </c>
      <c r="L109" s="165">
        <f t="shared" si="208"/>
        <v>137.63</v>
      </c>
      <c r="M109" s="257">
        <v>1</v>
      </c>
      <c r="N109" s="165">
        <f t="shared" si="209"/>
        <v>48.635000000000005</v>
      </c>
      <c r="O109" s="280">
        <v>2</v>
      </c>
      <c r="P109" s="165">
        <f t="shared" si="210"/>
        <v>97.27000000000001</v>
      </c>
      <c r="Q109" s="257">
        <v>1</v>
      </c>
      <c r="R109" s="165">
        <f t="shared" si="211"/>
        <v>46.491568025135855</v>
      </c>
      <c r="S109" s="280">
        <v>1</v>
      </c>
      <c r="T109" s="165">
        <f t="shared" si="212"/>
        <v>46.491568025135855</v>
      </c>
      <c r="U109" s="257"/>
      <c r="V109" s="165">
        <f t="shared" si="213"/>
        <v>0</v>
      </c>
      <c r="W109" s="280"/>
      <c r="X109" s="165">
        <f t="shared" si="214"/>
        <v>0</v>
      </c>
      <c r="Y109" s="257"/>
      <c r="Z109" s="165">
        <f t="shared" si="215"/>
        <v>0</v>
      </c>
      <c r="AA109" s="280"/>
      <c r="AB109" s="165">
        <f t="shared" si="216"/>
        <v>0</v>
      </c>
      <c r="AC109" s="257"/>
      <c r="AD109" s="165">
        <f t="shared" si="217"/>
        <v>0</v>
      </c>
      <c r="AE109" s="280"/>
      <c r="AF109" s="165">
        <f t="shared" si="218"/>
        <v>0</v>
      </c>
      <c r="AG109" s="257"/>
      <c r="AH109" s="165">
        <f t="shared" si="219"/>
        <v>0</v>
      </c>
      <c r="AI109" s="280"/>
      <c r="AJ109" s="165">
        <f t="shared" si="220"/>
        <v>0</v>
      </c>
      <c r="AK109" s="257"/>
      <c r="AL109" s="165">
        <f t="shared" si="221"/>
        <v>0</v>
      </c>
      <c r="AM109" s="280"/>
      <c r="AN109" s="165">
        <f t="shared" si="222"/>
        <v>0</v>
      </c>
      <c r="AO109" s="257"/>
      <c r="AP109" s="165">
        <f t="shared" si="223"/>
        <v>0</v>
      </c>
      <c r="AQ109" s="280"/>
      <c r="AR109" s="165">
        <f t="shared" si="224"/>
        <v>0</v>
      </c>
      <c r="AS109" s="259">
        <v>0</v>
      </c>
      <c r="AT109" s="260">
        <f>AS109*0.9</f>
        <v>0</v>
      </c>
      <c r="AU109" s="261">
        <f>AU107</f>
        <v>0</v>
      </c>
      <c r="AV109" s="165">
        <f t="shared" si="155"/>
        <v>0</v>
      </c>
      <c r="AW109" s="262">
        <v>0</v>
      </c>
      <c r="AX109" s="170">
        <f t="shared" si="156"/>
        <v>0</v>
      </c>
      <c r="AY109" s="165">
        <f>(AU109-AX109)*AT109</f>
        <v>0</v>
      </c>
      <c r="AZ109" s="165">
        <f t="shared" si="157"/>
        <v>205.23056802513585</v>
      </c>
      <c r="BA109" s="165">
        <f t="shared" si="225"/>
        <v>231.70194302513588</v>
      </c>
      <c r="BB109" s="222">
        <f t="shared" si="159"/>
        <v>26.471375000000023</v>
      </c>
      <c r="BC109" s="264">
        <v>0.6</v>
      </c>
      <c r="BD109" s="265">
        <f>BC109*BE110</f>
        <v>0.03</v>
      </c>
    </row>
    <row r="110" spans="1:59" ht="14.25" x14ac:dyDescent="0.25">
      <c r="A110" s="277"/>
      <c r="B110" s="294"/>
      <c r="C110" s="245"/>
      <c r="D110" s="140" t="str">
        <f t="shared" si="205"/>
        <v>nein</v>
      </c>
      <c r="E110" s="141"/>
      <c r="F110" s="142">
        <v>0</v>
      </c>
      <c r="G110" s="143">
        <v>0</v>
      </c>
      <c r="H110" s="144">
        <f t="shared" si="206"/>
        <v>0</v>
      </c>
      <c r="I110" s="145"/>
      <c r="J110" s="144">
        <f t="shared" si="207"/>
        <v>0</v>
      </c>
      <c r="K110" s="147"/>
      <c r="L110" s="144">
        <f t="shared" si="208"/>
        <v>0</v>
      </c>
      <c r="M110" s="145">
        <v>1</v>
      </c>
      <c r="N110" s="144">
        <f t="shared" si="209"/>
        <v>48.635000000000005</v>
      </c>
      <c r="O110" s="147">
        <v>2.5</v>
      </c>
      <c r="P110" s="144">
        <f t="shared" si="210"/>
        <v>121.58750000000001</v>
      </c>
      <c r="Q110" s="145">
        <v>1</v>
      </c>
      <c r="R110" s="144">
        <f t="shared" si="211"/>
        <v>46.491568025135855</v>
      </c>
      <c r="S110" s="147">
        <v>1.5</v>
      </c>
      <c r="T110" s="144">
        <f t="shared" si="212"/>
        <v>69.737352037703786</v>
      </c>
      <c r="U110" s="145"/>
      <c r="V110" s="144">
        <f t="shared" si="213"/>
        <v>0</v>
      </c>
      <c r="W110" s="147"/>
      <c r="X110" s="144">
        <f t="shared" si="214"/>
        <v>0</v>
      </c>
      <c r="Y110" s="145"/>
      <c r="Z110" s="144">
        <f t="shared" si="215"/>
        <v>0</v>
      </c>
      <c r="AA110" s="147"/>
      <c r="AB110" s="144">
        <f t="shared" si="216"/>
        <v>0</v>
      </c>
      <c r="AC110" s="145"/>
      <c r="AD110" s="144">
        <f t="shared" si="217"/>
        <v>0</v>
      </c>
      <c r="AE110" s="147"/>
      <c r="AF110" s="144">
        <f t="shared" si="218"/>
        <v>0</v>
      </c>
      <c r="AG110" s="145"/>
      <c r="AH110" s="144">
        <f t="shared" si="219"/>
        <v>0</v>
      </c>
      <c r="AI110" s="147"/>
      <c r="AJ110" s="144">
        <f t="shared" si="220"/>
        <v>0</v>
      </c>
      <c r="AK110" s="145"/>
      <c r="AL110" s="144">
        <f t="shared" si="221"/>
        <v>0</v>
      </c>
      <c r="AM110" s="147"/>
      <c r="AN110" s="144">
        <f t="shared" si="222"/>
        <v>0</v>
      </c>
      <c r="AO110" s="145"/>
      <c r="AP110" s="144">
        <f t="shared" si="223"/>
        <v>0</v>
      </c>
      <c r="AQ110" s="147"/>
      <c r="AR110" s="144">
        <f t="shared" si="224"/>
        <v>0</v>
      </c>
      <c r="AS110" s="148">
        <f>AS109</f>
        <v>0</v>
      </c>
      <c r="AT110" s="149">
        <f t="shared" ref="AT110" si="229">AS110*0.9</f>
        <v>0</v>
      </c>
      <c r="AU110" s="150">
        <f>AU109</f>
        <v>0</v>
      </c>
      <c r="AV110" s="144">
        <f t="shared" si="155"/>
        <v>0</v>
      </c>
      <c r="AW110" s="151">
        <f>AW109</f>
        <v>0</v>
      </c>
      <c r="AX110" s="152">
        <f t="shared" si="156"/>
        <v>0</v>
      </c>
      <c r="AY110" s="144">
        <f t="shared" ref="AY110" si="230">(AU110-AX110)*AT110</f>
        <v>0</v>
      </c>
      <c r="AZ110" s="144">
        <f t="shared" si="157"/>
        <v>95.126568025135867</v>
      </c>
      <c r="BA110" s="144">
        <f t="shared" si="225"/>
        <v>141.6352270377038</v>
      </c>
      <c r="BB110" s="153">
        <f t="shared" si="159"/>
        <v>46.508659012567932</v>
      </c>
      <c r="BC110" s="241">
        <v>0.4</v>
      </c>
      <c r="BD110" s="155">
        <f>BE110-BD109</f>
        <v>2.0000000000000004E-2</v>
      </c>
      <c r="BE110" s="285">
        <v>0.05</v>
      </c>
    </row>
    <row r="111" spans="1:59" ht="14.25" x14ac:dyDescent="0.25">
      <c r="A111" s="277"/>
      <c r="B111" s="294"/>
      <c r="C111" s="246" t="s">
        <v>66</v>
      </c>
      <c r="D111" s="252" t="str">
        <f t="shared" si="205"/>
        <v>ja</v>
      </c>
      <c r="E111" s="253"/>
      <c r="F111" s="254">
        <v>0</v>
      </c>
      <c r="G111" s="255">
        <v>0</v>
      </c>
      <c r="H111" s="165">
        <f t="shared" si="206"/>
        <v>0</v>
      </c>
      <c r="I111" s="257">
        <v>0.8</v>
      </c>
      <c r="J111" s="165">
        <f t="shared" si="207"/>
        <v>110.104</v>
      </c>
      <c r="K111" s="280">
        <v>1</v>
      </c>
      <c r="L111" s="165">
        <f t="shared" si="208"/>
        <v>137.63</v>
      </c>
      <c r="M111" s="257">
        <v>1</v>
      </c>
      <c r="N111" s="165">
        <f t="shared" si="209"/>
        <v>48.635000000000005</v>
      </c>
      <c r="O111" s="280">
        <v>2</v>
      </c>
      <c r="P111" s="165">
        <f t="shared" si="210"/>
        <v>97.27000000000001</v>
      </c>
      <c r="Q111" s="257">
        <v>1</v>
      </c>
      <c r="R111" s="165">
        <f t="shared" si="211"/>
        <v>46.491568025135855</v>
      </c>
      <c r="S111" s="280">
        <v>1</v>
      </c>
      <c r="T111" s="165">
        <f t="shared" si="212"/>
        <v>46.491568025135855</v>
      </c>
      <c r="U111" s="257"/>
      <c r="V111" s="165">
        <f t="shared" si="213"/>
        <v>0</v>
      </c>
      <c r="W111" s="280"/>
      <c r="X111" s="165">
        <f t="shared" si="214"/>
        <v>0</v>
      </c>
      <c r="Y111" s="257"/>
      <c r="Z111" s="165">
        <f t="shared" si="215"/>
        <v>0</v>
      </c>
      <c r="AA111" s="280"/>
      <c r="AB111" s="165">
        <f t="shared" si="216"/>
        <v>0</v>
      </c>
      <c r="AC111" s="257"/>
      <c r="AD111" s="165">
        <f t="shared" si="217"/>
        <v>0</v>
      </c>
      <c r="AE111" s="280"/>
      <c r="AF111" s="165">
        <f t="shared" si="218"/>
        <v>0</v>
      </c>
      <c r="AG111" s="257"/>
      <c r="AH111" s="165">
        <f t="shared" si="219"/>
        <v>0</v>
      </c>
      <c r="AI111" s="280"/>
      <c r="AJ111" s="165">
        <f t="shared" si="220"/>
        <v>0</v>
      </c>
      <c r="AK111" s="257"/>
      <c r="AL111" s="165">
        <f t="shared" si="221"/>
        <v>0</v>
      </c>
      <c r="AM111" s="280"/>
      <c r="AN111" s="165">
        <f t="shared" si="222"/>
        <v>0</v>
      </c>
      <c r="AO111" s="257"/>
      <c r="AP111" s="165">
        <f t="shared" si="223"/>
        <v>0</v>
      </c>
      <c r="AQ111" s="280"/>
      <c r="AR111" s="165">
        <f t="shared" si="224"/>
        <v>0</v>
      </c>
      <c r="AS111" s="259">
        <v>0</v>
      </c>
      <c r="AT111" s="260">
        <f>AS111*0.9</f>
        <v>0</v>
      </c>
      <c r="AU111" s="261">
        <f>AU109</f>
        <v>0</v>
      </c>
      <c r="AV111" s="165">
        <f t="shared" si="155"/>
        <v>0</v>
      </c>
      <c r="AW111" s="262">
        <v>0</v>
      </c>
      <c r="AX111" s="170">
        <f t="shared" si="156"/>
        <v>0</v>
      </c>
      <c r="AY111" s="165">
        <f>(AU111-AX111)*AT111</f>
        <v>0</v>
      </c>
      <c r="AZ111" s="165">
        <f t="shared" si="157"/>
        <v>205.23056802513585</v>
      </c>
      <c r="BA111" s="165">
        <f t="shared" si="225"/>
        <v>231.70194302513588</v>
      </c>
      <c r="BB111" s="222">
        <f t="shared" si="159"/>
        <v>26.471375000000023</v>
      </c>
      <c r="BC111" s="264">
        <v>0.6</v>
      </c>
      <c r="BD111" s="265">
        <f>BC111*BE112</f>
        <v>0.09</v>
      </c>
    </row>
    <row r="112" spans="1:59" ht="14.25" x14ac:dyDescent="0.25">
      <c r="A112" s="277"/>
      <c r="B112" s="294"/>
      <c r="C112" s="249"/>
      <c r="D112" s="140" t="str">
        <f t="shared" si="205"/>
        <v>nein</v>
      </c>
      <c r="E112" s="141"/>
      <c r="F112" s="142">
        <v>0</v>
      </c>
      <c r="G112" s="143">
        <v>0</v>
      </c>
      <c r="H112" s="144">
        <f t="shared" si="206"/>
        <v>0</v>
      </c>
      <c r="I112" s="145"/>
      <c r="J112" s="144">
        <f t="shared" si="207"/>
        <v>0</v>
      </c>
      <c r="K112" s="147"/>
      <c r="L112" s="144">
        <f t="shared" si="208"/>
        <v>0</v>
      </c>
      <c r="M112" s="145">
        <v>1</v>
      </c>
      <c r="N112" s="144">
        <f t="shared" si="209"/>
        <v>48.635000000000005</v>
      </c>
      <c r="O112" s="147">
        <v>2.5</v>
      </c>
      <c r="P112" s="144">
        <f t="shared" si="210"/>
        <v>121.58750000000001</v>
      </c>
      <c r="Q112" s="145">
        <v>1</v>
      </c>
      <c r="R112" s="144">
        <f t="shared" si="211"/>
        <v>46.491568025135855</v>
      </c>
      <c r="S112" s="147">
        <v>1.5</v>
      </c>
      <c r="T112" s="144">
        <f t="shared" si="212"/>
        <v>69.737352037703786</v>
      </c>
      <c r="U112" s="145"/>
      <c r="V112" s="144">
        <f t="shared" si="213"/>
        <v>0</v>
      </c>
      <c r="W112" s="147"/>
      <c r="X112" s="144">
        <f t="shared" si="214"/>
        <v>0</v>
      </c>
      <c r="Y112" s="145"/>
      <c r="Z112" s="144">
        <f t="shared" si="215"/>
        <v>0</v>
      </c>
      <c r="AA112" s="147"/>
      <c r="AB112" s="144">
        <f t="shared" si="216"/>
        <v>0</v>
      </c>
      <c r="AC112" s="145"/>
      <c r="AD112" s="144">
        <f t="shared" si="217"/>
        <v>0</v>
      </c>
      <c r="AE112" s="147"/>
      <c r="AF112" s="144">
        <f t="shared" si="218"/>
        <v>0</v>
      </c>
      <c r="AG112" s="145"/>
      <c r="AH112" s="144">
        <f t="shared" si="219"/>
        <v>0</v>
      </c>
      <c r="AI112" s="147"/>
      <c r="AJ112" s="144">
        <f t="shared" si="220"/>
        <v>0</v>
      </c>
      <c r="AK112" s="145"/>
      <c r="AL112" s="144">
        <f t="shared" si="221"/>
        <v>0</v>
      </c>
      <c r="AM112" s="147"/>
      <c r="AN112" s="144">
        <f t="shared" si="222"/>
        <v>0</v>
      </c>
      <c r="AO112" s="145"/>
      <c r="AP112" s="144">
        <f t="shared" si="223"/>
        <v>0</v>
      </c>
      <c r="AQ112" s="147"/>
      <c r="AR112" s="144">
        <f t="shared" si="224"/>
        <v>0</v>
      </c>
      <c r="AS112" s="148">
        <f>AS111</f>
        <v>0</v>
      </c>
      <c r="AT112" s="149">
        <f t="shared" ref="AT112" si="231">AS112*0.9</f>
        <v>0</v>
      </c>
      <c r="AU112" s="150">
        <f>AU111</f>
        <v>0</v>
      </c>
      <c r="AV112" s="144">
        <f t="shared" si="155"/>
        <v>0</v>
      </c>
      <c r="AW112" s="151">
        <f>AW111</f>
        <v>0</v>
      </c>
      <c r="AX112" s="152">
        <f t="shared" si="156"/>
        <v>0</v>
      </c>
      <c r="AY112" s="144">
        <f t="shared" ref="AY112" si="232">(AU112-AX112)*AT112</f>
        <v>0</v>
      </c>
      <c r="AZ112" s="144">
        <f t="shared" si="157"/>
        <v>95.126568025135867</v>
      </c>
      <c r="BA112" s="144">
        <f t="shared" si="225"/>
        <v>141.6352270377038</v>
      </c>
      <c r="BB112" s="153">
        <f t="shared" si="159"/>
        <v>46.508659012567932</v>
      </c>
      <c r="BC112" s="241">
        <v>0.4</v>
      </c>
      <c r="BD112" s="155">
        <f>BE112-BD111</f>
        <v>0.06</v>
      </c>
      <c r="BE112" s="285">
        <v>0.15</v>
      </c>
    </row>
    <row r="113" spans="1:59" ht="14.25" x14ac:dyDescent="0.25">
      <c r="A113" s="277"/>
      <c r="B113" s="294"/>
      <c r="C113" s="250" t="s">
        <v>67</v>
      </c>
      <c r="D113" s="295" t="str">
        <f t="shared" si="205"/>
        <v>ja</v>
      </c>
      <c r="E113" s="253" t="s">
        <v>73</v>
      </c>
      <c r="F113" s="281">
        <v>0.5</v>
      </c>
      <c r="G113" s="282">
        <v>25</v>
      </c>
      <c r="H113" s="165">
        <f t="shared" si="206"/>
        <v>26.445</v>
      </c>
      <c r="I113" s="257">
        <v>0.1</v>
      </c>
      <c r="J113" s="165">
        <f t="shared" si="207"/>
        <v>13.763</v>
      </c>
      <c r="K113" s="280">
        <v>0.3</v>
      </c>
      <c r="L113" s="165">
        <f t="shared" si="208"/>
        <v>41.288999999999994</v>
      </c>
      <c r="M113" s="257">
        <v>1</v>
      </c>
      <c r="N113" s="165">
        <f t="shared" si="209"/>
        <v>48.635000000000005</v>
      </c>
      <c r="O113" s="280">
        <v>2.5</v>
      </c>
      <c r="P113" s="165">
        <f t="shared" si="210"/>
        <v>121.58750000000001</v>
      </c>
      <c r="Q113" s="257">
        <v>1</v>
      </c>
      <c r="R113" s="165">
        <f t="shared" si="211"/>
        <v>46.491568025135855</v>
      </c>
      <c r="S113" s="280">
        <v>1.5</v>
      </c>
      <c r="T113" s="165">
        <f t="shared" si="212"/>
        <v>69.737352037703786</v>
      </c>
      <c r="U113" s="257"/>
      <c r="V113" s="165">
        <f t="shared" si="213"/>
        <v>0</v>
      </c>
      <c r="W113" s="280">
        <v>1</v>
      </c>
      <c r="X113" s="165">
        <f t="shared" si="214"/>
        <v>16.315354141656663</v>
      </c>
      <c r="Y113" s="257"/>
      <c r="Z113" s="165">
        <f t="shared" si="215"/>
        <v>0</v>
      </c>
      <c r="AA113" s="280"/>
      <c r="AB113" s="165">
        <f t="shared" si="216"/>
        <v>0</v>
      </c>
      <c r="AC113" s="257"/>
      <c r="AD113" s="165">
        <f t="shared" si="217"/>
        <v>0</v>
      </c>
      <c r="AE113" s="280"/>
      <c r="AF113" s="165">
        <f t="shared" si="218"/>
        <v>0</v>
      </c>
      <c r="AG113" s="257"/>
      <c r="AH113" s="165">
        <f t="shared" si="219"/>
        <v>0</v>
      </c>
      <c r="AI113" s="280"/>
      <c r="AJ113" s="165">
        <f t="shared" si="220"/>
        <v>0</v>
      </c>
      <c r="AK113" s="257"/>
      <c r="AL113" s="165">
        <f t="shared" si="221"/>
        <v>0</v>
      </c>
      <c r="AM113" s="280"/>
      <c r="AN113" s="165">
        <f t="shared" si="222"/>
        <v>0</v>
      </c>
      <c r="AO113" s="257"/>
      <c r="AP113" s="165">
        <f t="shared" si="223"/>
        <v>0</v>
      </c>
      <c r="AQ113" s="280"/>
      <c r="AR113" s="165">
        <f t="shared" si="224"/>
        <v>0</v>
      </c>
      <c r="AS113" s="259">
        <v>0</v>
      </c>
      <c r="AT113" s="260">
        <f>AS113*0.9</f>
        <v>0</v>
      </c>
      <c r="AU113" s="261">
        <f>AU111</f>
        <v>0</v>
      </c>
      <c r="AV113" s="165">
        <f t="shared" si="155"/>
        <v>0</v>
      </c>
      <c r="AW113" s="262">
        <v>0</v>
      </c>
      <c r="AX113" s="170">
        <f t="shared" si="156"/>
        <v>0</v>
      </c>
      <c r="AY113" s="165">
        <f>(AU113-AX113)*AT113</f>
        <v>0</v>
      </c>
      <c r="AZ113" s="165">
        <f t="shared" si="157"/>
        <v>108.88956802513586</v>
      </c>
      <c r="BA113" s="165">
        <f t="shared" si="225"/>
        <v>225.68458117936044</v>
      </c>
      <c r="BB113" s="222">
        <f t="shared" si="159"/>
        <v>116.79501315422458</v>
      </c>
      <c r="BC113" s="264">
        <v>0.6</v>
      </c>
      <c r="BD113" s="265">
        <f>BC113*BE114</f>
        <v>0.12</v>
      </c>
    </row>
    <row r="114" spans="1:59" ht="14.25" x14ac:dyDescent="0.25">
      <c r="A114" s="277"/>
      <c r="B114" s="294"/>
      <c r="C114" s="251"/>
      <c r="D114" s="140" t="str">
        <f t="shared" si="205"/>
        <v>nein</v>
      </c>
      <c r="E114" s="141" t="s">
        <v>73</v>
      </c>
      <c r="F114" s="142">
        <v>1</v>
      </c>
      <c r="G114" s="143">
        <v>25</v>
      </c>
      <c r="H114" s="144">
        <f t="shared" si="206"/>
        <v>38.945</v>
      </c>
      <c r="I114" s="145"/>
      <c r="J114" s="144">
        <f t="shared" si="207"/>
        <v>0</v>
      </c>
      <c r="K114" s="296"/>
      <c r="L114" s="144">
        <f t="shared" si="208"/>
        <v>0</v>
      </c>
      <c r="M114" s="145">
        <v>1</v>
      </c>
      <c r="N114" s="144">
        <f t="shared" si="209"/>
        <v>48.635000000000005</v>
      </c>
      <c r="O114" s="296">
        <v>3.5</v>
      </c>
      <c r="P114" s="144">
        <f t="shared" si="210"/>
        <v>170.22250000000003</v>
      </c>
      <c r="Q114" s="145">
        <v>2</v>
      </c>
      <c r="R114" s="144">
        <f t="shared" si="211"/>
        <v>92.98313605027171</v>
      </c>
      <c r="S114" s="296">
        <v>2</v>
      </c>
      <c r="T114" s="144">
        <f t="shared" si="212"/>
        <v>92.98313605027171</v>
      </c>
      <c r="U114" s="145"/>
      <c r="V114" s="144">
        <f t="shared" si="213"/>
        <v>0</v>
      </c>
      <c r="W114" s="296">
        <v>1</v>
      </c>
      <c r="X114" s="144">
        <f t="shared" si="214"/>
        <v>16.315354141656663</v>
      </c>
      <c r="Y114" s="145"/>
      <c r="Z114" s="144">
        <f t="shared" si="215"/>
        <v>0</v>
      </c>
      <c r="AA114" s="296"/>
      <c r="AB114" s="144">
        <f t="shared" si="216"/>
        <v>0</v>
      </c>
      <c r="AC114" s="145"/>
      <c r="AD114" s="144">
        <f t="shared" si="217"/>
        <v>0</v>
      </c>
      <c r="AE114" s="296"/>
      <c r="AF114" s="144">
        <f t="shared" si="218"/>
        <v>0</v>
      </c>
      <c r="AG114" s="145"/>
      <c r="AH114" s="144">
        <f t="shared" si="219"/>
        <v>0</v>
      </c>
      <c r="AI114" s="296"/>
      <c r="AJ114" s="144">
        <f t="shared" si="220"/>
        <v>0</v>
      </c>
      <c r="AK114" s="145"/>
      <c r="AL114" s="144">
        <f t="shared" si="221"/>
        <v>0</v>
      </c>
      <c r="AM114" s="296"/>
      <c r="AN114" s="144">
        <f t="shared" si="222"/>
        <v>0</v>
      </c>
      <c r="AO114" s="145"/>
      <c r="AP114" s="144">
        <f t="shared" si="223"/>
        <v>0</v>
      </c>
      <c r="AQ114" s="296"/>
      <c r="AR114" s="144">
        <f t="shared" si="224"/>
        <v>0</v>
      </c>
      <c r="AS114" s="148">
        <f>AS113</f>
        <v>0</v>
      </c>
      <c r="AT114" s="149">
        <f t="shared" ref="AT114" si="233">AS114*0.9</f>
        <v>0</v>
      </c>
      <c r="AU114" s="150">
        <f>AU113</f>
        <v>0</v>
      </c>
      <c r="AV114" s="144">
        <f t="shared" si="155"/>
        <v>0</v>
      </c>
      <c r="AW114" s="151">
        <f>AW113</f>
        <v>0</v>
      </c>
      <c r="AX114" s="152">
        <f t="shared" si="156"/>
        <v>0</v>
      </c>
      <c r="AY114" s="144">
        <f t="shared" ref="AY114" si="234">(AU114-AX114)*AT114</f>
        <v>0</v>
      </c>
      <c r="AZ114" s="144">
        <f t="shared" si="157"/>
        <v>141.61813605027172</v>
      </c>
      <c r="BA114" s="144">
        <f t="shared" si="225"/>
        <v>268.77636519192839</v>
      </c>
      <c r="BB114" s="297">
        <f t="shared" si="159"/>
        <v>127.15822914165668</v>
      </c>
      <c r="BC114" s="241">
        <v>0.4</v>
      </c>
      <c r="BD114" s="155">
        <f>BE114-BD113</f>
        <v>8.0000000000000016E-2</v>
      </c>
      <c r="BE114" s="285">
        <v>0.2</v>
      </c>
    </row>
    <row r="115" spans="1:59" ht="14.25" x14ac:dyDescent="0.25">
      <c r="A115" s="277"/>
      <c r="B115" s="294"/>
      <c r="C115" s="250" t="s">
        <v>68</v>
      </c>
      <c r="D115" s="157" t="str">
        <f t="shared" si="205"/>
        <v>ja</v>
      </c>
      <c r="E115" s="158"/>
      <c r="F115" s="159">
        <v>0</v>
      </c>
      <c r="G115" s="160">
        <v>0</v>
      </c>
      <c r="H115" s="256">
        <f t="shared" si="206"/>
        <v>0</v>
      </c>
      <c r="I115" s="162">
        <v>0.4</v>
      </c>
      <c r="J115" s="256">
        <f t="shared" si="207"/>
        <v>55.052</v>
      </c>
      <c r="K115" s="298">
        <v>0.5</v>
      </c>
      <c r="L115" s="256">
        <f t="shared" si="208"/>
        <v>68.814999999999998</v>
      </c>
      <c r="M115" s="162">
        <v>0.6</v>
      </c>
      <c r="N115" s="256">
        <f t="shared" si="209"/>
        <v>29.181000000000001</v>
      </c>
      <c r="O115" s="298">
        <v>0.5</v>
      </c>
      <c r="P115" s="256">
        <f t="shared" si="210"/>
        <v>24.317500000000003</v>
      </c>
      <c r="Q115" s="162"/>
      <c r="R115" s="256">
        <f t="shared" si="211"/>
        <v>0</v>
      </c>
      <c r="S115" s="298"/>
      <c r="T115" s="256">
        <f t="shared" si="212"/>
        <v>0</v>
      </c>
      <c r="U115" s="162"/>
      <c r="V115" s="256">
        <f t="shared" si="213"/>
        <v>0</v>
      </c>
      <c r="W115" s="298"/>
      <c r="X115" s="256">
        <f t="shared" si="214"/>
        <v>0</v>
      </c>
      <c r="Y115" s="162"/>
      <c r="Z115" s="256">
        <f t="shared" si="215"/>
        <v>0</v>
      </c>
      <c r="AA115" s="298"/>
      <c r="AB115" s="256">
        <f t="shared" si="216"/>
        <v>0</v>
      </c>
      <c r="AC115" s="162"/>
      <c r="AD115" s="256">
        <f t="shared" si="217"/>
        <v>0</v>
      </c>
      <c r="AE115" s="298"/>
      <c r="AF115" s="256">
        <f t="shared" si="218"/>
        <v>0</v>
      </c>
      <c r="AG115" s="162"/>
      <c r="AH115" s="256">
        <f t="shared" si="219"/>
        <v>0</v>
      </c>
      <c r="AI115" s="298"/>
      <c r="AJ115" s="256">
        <f t="shared" si="220"/>
        <v>0</v>
      </c>
      <c r="AK115" s="162"/>
      <c r="AL115" s="256">
        <f t="shared" si="221"/>
        <v>0</v>
      </c>
      <c r="AM115" s="298"/>
      <c r="AN115" s="256">
        <f t="shared" si="222"/>
        <v>0</v>
      </c>
      <c r="AO115" s="162"/>
      <c r="AP115" s="256">
        <f t="shared" si="223"/>
        <v>0</v>
      </c>
      <c r="AQ115" s="298"/>
      <c r="AR115" s="256">
        <f t="shared" si="224"/>
        <v>0</v>
      </c>
      <c r="AS115" s="166">
        <v>0</v>
      </c>
      <c r="AT115" s="167">
        <f>AS115*0.9</f>
        <v>0</v>
      </c>
      <c r="AU115" s="168">
        <f>AU113</f>
        <v>0</v>
      </c>
      <c r="AV115" s="256">
        <f t="shared" si="155"/>
        <v>0</v>
      </c>
      <c r="AW115" s="169">
        <v>0</v>
      </c>
      <c r="AX115" s="263">
        <f t="shared" si="156"/>
        <v>0</v>
      </c>
      <c r="AY115" s="256">
        <f>(AU115-AX115)*AT115</f>
        <v>0</v>
      </c>
      <c r="AZ115" s="256">
        <f t="shared" si="157"/>
        <v>84.233000000000004</v>
      </c>
      <c r="BA115" s="256">
        <f t="shared" si="225"/>
        <v>43.442874999999994</v>
      </c>
      <c r="BB115" s="222">
        <f t="shared" si="159"/>
        <v>0</v>
      </c>
      <c r="BC115" s="243">
        <v>0.4</v>
      </c>
      <c r="BD115" s="172">
        <f>BC115*BE116</f>
        <v>7.999999999999996E-2</v>
      </c>
      <c r="BG115" s="293"/>
    </row>
    <row r="116" spans="1:59" ht="15" thickBot="1" x14ac:dyDescent="0.3">
      <c r="A116" s="277"/>
      <c r="B116" s="294"/>
      <c r="C116" s="266"/>
      <c r="D116" s="299" t="str">
        <f t="shared" si="205"/>
        <v>nein</v>
      </c>
      <c r="E116" s="300"/>
      <c r="F116" s="301">
        <v>0</v>
      </c>
      <c r="G116" s="302">
        <v>0</v>
      </c>
      <c r="H116" s="144">
        <f t="shared" si="206"/>
        <v>0</v>
      </c>
      <c r="I116" s="303"/>
      <c r="J116" s="144">
        <f t="shared" si="207"/>
        <v>0</v>
      </c>
      <c r="K116" s="304"/>
      <c r="L116" s="144">
        <f t="shared" si="208"/>
        <v>0</v>
      </c>
      <c r="M116" s="303">
        <v>1</v>
      </c>
      <c r="N116" s="144">
        <f t="shared" si="209"/>
        <v>48.635000000000005</v>
      </c>
      <c r="O116" s="304">
        <v>1</v>
      </c>
      <c r="P116" s="144">
        <f t="shared" si="210"/>
        <v>48.635000000000005</v>
      </c>
      <c r="Q116" s="303"/>
      <c r="R116" s="144">
        <f t="shared" si="211"/>
        <v>0</v>
      </c>
      <c r="S116" s="304"/>
      <c r="T116" s="144">
        <f t="shared" si="212"/>
        <v>0</v>
      </c>
      <c r="U116" s="303"/>
      <c r="V116" s="144">
        <f t="shared" si="213"/>
        <v>0</v>
      </c>
      <c r="W116" s="304"/>
      <c r="X116" s="144">
        <f t="shared" si="214"/>
        <v>0</v>
      </c>
      <c r="Y116" s="303"/>
      <c r="Z116" s="144">
        <f t="shared" si="215"/>
        <v>0</v>
      </c>
      <c r="AA116" s="304"/>
      <c r="AB116" s="144">
        <f t="shared" si="216"/>
        <v>0</v>
      </c>
      <c r="AC116" s="303"/>
      <c r="AD116" s="144">
        <f t="shared" si="217"/>
        <v>0</v>
      </c>
      <c r="AE116" s="304"/>
      <c r="AF116" s="144">
        <f t="shared" si="218"/>
        <v>0</v>
      </c>
      <c r="AG116" s="303"/>
      <c r="AH116" s="144">
        <f t="shared" si="219"/>
        <v>0</v>
      </c>
      <c r="AI116" s="304"/>
      <c r="AJ116" s="144">
        <f t="shared" si="220"/>
        <v>0</v>
      </c>
      <c r="AK116" s="303"/>
      <c r="AL116" s="144">
        <f t="shared" si="221"/>
        <v>0</v>
      </c>
      <c r="AM116" s="304"/>
      <c r="AN116" s="144">
        <f t="shared" si="222"/>
        <v>0</v>
      </c>
      <c r="AO116" s="303"/>
      <c r="AP116" s="144">
        <f t="shared" si="223"/>
        <v>0</v>
      </c>
      <c r="AQ116" s="304"/>
      <c r="AR116" s="144">
        <f t="shared" si="224"/>
        <v>0</v>
      </c>
      <c r="AS116" s="305">
        <f>AS115</f>
        <v>0</v>
      </c>
      <c r="AT116" s="306">
        <f t="shared" ref="AT116" si="235">AS116*0.9</f>
        <v>0</v>
      </c>
      <c r="AU116" s="307">
        <f>AU115</f>
        <v>0</v>
      </c>
      <c r="AV116" s="144">
        <f t="shared" si="155"/>
        <v>0</v>
      </c>
      <c r="AW116" s="308">
        <f>AW115</f>
        <v>0</v>
      </c>
      <c r="AX116" s="152">
        <f t="shared" si="156"/>
        <v>0</v>
      </c>
      <c r="AY116" s="144">
        <f t="shared" ref="AY116" si="236">(AU116-AX116)*AT116</f>
        <v>0</v>
      </c>
      <c r="AZ116" s="144">
        <f t="shared" si="157"/>
        <v>48.635000000000005</v>
      </c>
      <c r="BA116" s="144">
        <f t="shared" si="225"/>
        <v>-1.0546249999999944</v>
      </c>
      <c r="BB116" s="309">
        <f t="shared" si="159"/>
        <v>0</v>
      </c>
      <c r="BC116" s="310">
        <v>0.6</v>
      </c>
      <c r="BD116" s="311">
        <f>BE116-BD115</f>
        <v>0.11999999999999994</v>
      </c>
      <c r="BE116" s="223">
        <f>1-BE106-BE108-BE110-BE112-BE114</f>
        <v>0.1999999999999999</v>
      </c>
      <c r="BG116" s="293"/>
    </row>
    <row r="117" spans="1:59" ht="14.25" x14ac:dyDescent="0.25">
      <c r="A117" s="277"/>
      <c r="B117" s="294"/>
      <c r="C117" s="71" t="s">
        <v>69</v>
      </c>
      <c r="D117" s="121" t="s">
        <v>62</v>
      </c>
      <c r="E117" s="194"/>
      <c r="F117" s="195"/>
      <c r="G117" s="196"/>
      <c r="H117" s="197"/>
      <c r="I117" s="198"/>
      <c r="J117" s="197"/>
      <c r="K117" s="199"/>
      <c r="L117" s="197"/>
      <c r="M117" s="198"/>
      <c r="N117" s="197"/>
      <c r="O117" s="199"/>
      <c r="P117" s="197"/>
      <c r="Q117" s="198"/>
      <c r="R117" s="197"/>
      <c r="S117" s="199"/>
      <c r="T117" s="197"/>
      <c r="U117" s="198"/>
      <c r="V117" s="197"/>
      <c r="W117" s="199"/>
      <c r="X117" s="197"/>
      <c r="Y117" s="198"/>
      <c r="Z117" s="197"/>
      <c r="AA117" s="199"/>
      <c r="AB117" s="197"/>
      <c r="AC117" s="198"/>
      <c r="AD117" s="197"/>
      <c r="AE117" s="199"/>
      <c r="AF117" s="197"/>
      <c r="AG117" s="198"/>
      <c r="AH117" s="197"/>
      <c r="AI117" s="199"/>
      <c r="AJ117" s="197"/>
      <c r="AK117" s="198"/>
      <c r="AL117" s="197"/>
      <c r="AM117" s="199"/>
      <c r="AN117" s="197"/>
      <c r="AO117" s="198"/>
      <c r="AP117" s="197"/>
      <c r="AQ117" s="199"/>
      <c r="AR117" s="197"/>
      <c r="AS117" s="200"/>
      <c r="AT117" s="200"/>
      <c r="AU117" s="201"/>
      <c r="AV117" s="197"/>
      <c r="AW117" s="201"/>
      <c r="AX117" s="201"/>
      <c r="AY117" s="197"/>
      <c r="AZ117" s="197"/>
      <c r="BA117" s="197"/>
      <c r="BB117" s="220">
        <f>(BB105*BD105+BB107*BD107+BB109*BD109+BB111*BD111+BB113*BD113+BB115*BD115)/(BD105+BD107+BD109+BD111+BD113+BD115)</f>
        <v>34.126921770599921</v>
      </c>
      <c r="BC117" s="203"/>
      <c r="BD117" s="136">
        <f>BD105+BD107+BD109+BD111+BD113+BD115</f>
        <v>0.59499999999999986</v>
      </c>
      <c r="BG117" s="293"/>
    </row>
    <row r="118" spans="1:59" ht="15" thickBot="1" x14ac:dyDescent="0.3">
      <c r="A118" s="277"/>
      <c r="B118" s="294"/>
      <c r="C118" s="93"/>
      <c r="D118" s="178" t="s">
        <v>64</v>
      </c>
      <c r="E118" s="312"/>
      <c r="F118" s="313"/>
      <c r="G118" s="314"/>
      <c r="H118" s="90"/>
      <c r="I118" s="315"/>
      <c r="J118" s="90"/>
      <c r="K118" s="316"/>
      <c r="L118" s="90"/>
      <c r="M118" s="315"/>
      <c r="N118" s="90"/>
      <c r="O118" s="316"/>
      <c r="P118" s="90"/>
      <c r="Q118" s="315"/>
      <c r="R118" s="90"/>
      <c r="S118" s="316"/>
      <c r="T118" s="90"/>
      <c r="U118" s="315"/>
      <c r="V118" s="90"/>
      <c r="W118" s="316"/>
      <c r="X118" s="90"/>
      <c r="Y118" s="315"/>
      <c r="Z118" s="90"/>
      <c r="AA118" s="316"/>
      <c r="AB118" s="90"/>
      <c r="AC118" s="315"/>
      <c r="AD118" s="90"/>
      <c r="AE118" s="316"/>
      <c r="AF118" s="90"/>
      <c r="AG118" s="315"/>
      <c r="AH118" s="90"/>
      <c r="AI118" s="316"/>
      <c r="AJ118" s="90"/>
      <c r="AK118" s="315"/>
      <c r="AL118" s="90"/>
      <c r="AM118" s="316"/>
      <c r="AN118" s="90"/>
      <c r="AO118" s="315"/>
      <c r="AP118" s="90"/>
      <c r="AQ118" s="316"/>
      <c r="AR118" s="90"/>
      <c r="AS118" s="317"/>
      <c r="AT118" s="317"/>
      <c r="AU118" s="318"/>
      <c r="AV118" s="90"/>
      <c r="AW118" s="318"/>
      <c r="AX118" s="318"/>
      <c r="AY118" s="90"/>
      <c r="AZ118" s="90"/>
      <c r="BA118" s="90"/>
      <c r="BB118" s="225">
        <f>(BB106*BD106+BB108*BD108+BB110*BD110+BB112*BD112+BB114*BD114+BB116*BD116)/(BD106+BD108+BD110+BD112+BD114+BD116)</f>
        <v>40.057833947302733</v>
      </c>
      <c r="BC118" s="319"/>
      <c r="BD118" s="192">
        <f>BD106+BD108+BD110+BD112+BD114+BD116</f>
        <v>0.40499999999999997</v>
      </c>
      <c r="BG118" s="293"/>
    </row>
    <row r="119" spans="1:59" ht="16.5" thickBot="1" x14ac:dyDescent="0.3">
      <c r="A119" s="229" t="s">
        <v>75</v>
      </c>
      <c r="B119" s="320"/>
      <c r="C119" s="321"/>
      <c r="D119" s="231"/>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3">
        <f>(BB117*BD117+BB118*BD118)/(BD117+BD118)</f>
        <v>36.52894120216456</v>
      </c>
      <c r="BC119" s="291"/>
      <c r="BD119" s="292"/>
      <c r="BG119" s="293"/>
    </row>
    <row r="120" spans="1:59" ht="14.25" x14ac:dyDescent="0.25">
      <c r="A120" s="275" t="s">
        <v>67</v>
      </c>
      <c r="B120" s="70" t="s">
        <v>64</v>
      </c>
      <c r="C120" s="276" t="s">
        <v>61</v>
      </c>
      <c r="D120" s="121" t="str">
        <f>D105</f>
        <v>ja</v>
      </c>
      <c r="E120" s="122"/>
      <c r="F120" s="123">
        <v>0</v>
      </c>
      <c r="G120" s="124">
        <v>0</v>
      </c>
      <c r="H120" s="125">
        <f t="shared" ref="H120:H125" si="237">IF(F120=0,0,F120*G120+$G$8+$G$9)</f>
        <v>0</v>
      </c>
      <c r="I120" s="126">
        <v>0.1</v>
      </c>
      <c r="J120" s="125">
        <f t="shared" ref="J120:J125" si="238">I120*(I$13*$B$9+K$13)</f>
        <v>13.763</v>
      </c>
      <c r="K120" s="128">
        <v>0.1</v>
      </c>
      <c r="L120" s="125">
        <f t="shared" ref="L120:L125" si="239">K120*(I$13*$B$9+K$13)</f>
        <v>13.763</v>
      </c>
      <c r="M120" s="126">
        <v>0.9</v>
      </c>
      <c r="N120" s="125">
        <f t="shared" ref="N120:N125" si="240">M120*(M$13*$B$9+O$13)</f>
        <v>43.771500000000003</v>
      </c>
      <c r="O120" s="128">
        <v>1.5</v>
      </c>
      <c r="P120" s="125">
        <f t="shared" ref="P120:P125" si="241">O120*(M$13*$B$9+O$13)</f>
        <v>72.952500000000015</v>
      </c>
      <c r="Q120" s="126">
        <v>0.5</v>
      </c>
      <c r="R120" s="125">
        <f t="shared" ref="R120:R125" si="242">Q120*(Q$13*$B$9+S$13)</f>
        <v>23.245784012567928</v>
      </c>
      <c r="S120" s="128">
        <v>1</v>
      </c>
      <c r="T120" s="125">
        <f t="shared" ref="T120:T125" si="243">S120*(Q$13*$B$9+S$13)</f>
        <v>46.491568025135855</v>
      </c>
      <c r="U120" s="126"/>
      <c r="V120" s="125">
        <f t="shared" ref="V120:V125" si="244">U120*(U$13*$B$9+W$13)</f>
        <v>0</v>
      </c>
      <c r="W120" s="128"/>
      <c r="X120" s="125">
        <f t="shared" ref="X120:X125" si="245">W120*(U$13*$B$9+W$13)</f>
        <v>0</v>
      </c>
      <c r="Y120" s="126"/>
      <c r="Z120" s="125">
        <f t="shared" ref="Z120:Z125" si="246">Y120*(Y$13*$B$9+AA$13)</f>
        <v>0</v>
      </c>
      <c r="AA120" s="128"/>
      <c r="AB120" s="125">
        <f t="shared" ref="AB120:AB125" si="247">AA120*(Y$13*$B$9+AA$13)</f>
        <v>0</v>
      </c>
      <c r="AC120" s="126"/>
      <c r="AD120" s="125">
        <f t="shared" ref="AD120:AD125" si="248">AC120*(AC$13*$B$9+AE$13)</f>
        <v>0</v>
      </c>
      <c r="AE120" s="128"/>
      <c r="AF120" s="125">
        <f t="shared" ref="AF120:AF125" si="249">AE120*(AC$13*$B$9+AE$13)</f>
        <v>0</v>
      </c>
      <c r="AG120" s="126"/>
      <c r="AH120" s="125">
        <f t="shared" ref="AH120:AH125" si="250">AG120*(AG$13*$B$9+AI$13)</f>
        <v>0</v>
      </c>
      <c r="AI120" s="128"/>
      <c r="AJ120" s="125">
        <f t="shared" ref="AJ120:AJ125" si="251">AI120*(AG$13*$B$9+AI$13)</f>
        <v>0</v>
      </c>
      <c r="AK120" s="126"/>
      <c r="AL120" s="125">
        <f t="shared" ref="AL120:AL125" si="252">AK120*(AK$13*$B$9+AM$13)</f>
        <v>0</v>
      </c>
      <c r="AM120" s="128"/>
      <c r="AN120" s="125">
        <f t="shared" ref="AN120:AN125" si="253">AM120*(AK$13*$B$9+AM$13)</f>
        <v>0</v>
      </c>
      <c r="AO120" s="126"/>
      <c r="AP120" s="125">
        <f t="shared" ref="AP120:AP125" si="254">AO120*(AO$13*$B$9+AQ$13)</f>
        <v>0</v>
      </c>
      <c r="AQ120" s="128"/>
      <c r="AR120" s="125">
        <f t="shared" ref="AR120:AR125" si="255">AQ120*(AO$13*$B$9+AQ$13)</f>
        <v>0</v>
      </c>
      <c r="AS120" s="129">
        <v>0</v>
      </c>
      <c r="AT120" s="130">
        <f>AS120*0.9</f>
        <v>0</v>
      </c>
      <c r="AU120" s="131">
        <v>0</v>
      </c>
      <c r="AV120" s="125">
        <f t="shared" si="155"/>
        <v>0</v>
      </c>
      <c r="AW120" s="132">
        <v>0</v>
      </c>
      <c r="AX120" s="133">
        <f t="shared" si="156"/>
        <v>0</v>
      </c>
      <c r="AY120" s="125">
        <f>(AU120-AX120)*AT120</f>
        <v>0</v>
      </c>
      <c r="AZ120" s="125">
        <f t="shared" si="157"/>
        <v>80.780284012567932</v>
      </c>
      <c r="BA120" s="125">
        <f t="shared" ref="BA120:BA125" si="256">IF(SUM(AQ120+AE120+AA120+W120+S120+O120+K120)=0,0,H120+L120+P120+T120+X120+AB120+AF120+AJ120+AN120+AR120+AV120+AY120-$G$11)</f>
        <v>83.517443025135861</v>
      </c>
      <c r="BB120" s="220">
        <f t="shared" si="159"/>
        <v>2.737159012567929</v>
      </c>
      <c r="BC120" s="238">
        <v>0.6</v>
      </c>
      <c r="BD120" s="136">
        <f>BC120*BE121</f>
        <v>0</v>
      </c>
      <c r="BG120" s="293"/>
    </row>
    <row r="121" spans="1:59" ht="14.25" x14ac:dyDescent="0.25">
      <c r="A121" s="277"/>
      <c r="B121" s="294"/>
      <c r="C121" s="278"/>
      <c r="D121" s="140" t="str">
        <f>D106</f>
        <v>nein</v>
      </c>
      <c r="E121" s="141"/>
      <c r="F121" s="142">
        <v>0</v>
      </c>
      <c r="G121" s="143">
        <v>0</v>
      </c>
      <c r="H121" s="144">
        <f t="shared" si="237"/>
        <v>0</v>
      </c>
      <c r="I121" s="145">
        <v>0</v>
      </c>
      <c r="J121" s="144">
        <f t="shared" si="238"/>
        <v>0</v>
      </c>
      <c r="K121" s="147"/>
      <c r="L121" s="144">
        <f t="shared" si="239"/>
        <v>0</v>
      </c>
      <c r="M121" s="145">
        <v>1</v>
      </c>
      <c r="N121" s="144">
        <f t="shared" si="240"/>
        <v>48.635000000000005</v>
      </c>
      <c r="O121" s="147">
        <v>1.5</v>
      </c>
      <c r="P121" s="144">
        <f t="shared" si="241"/>
        <v>72.952500000000015</v>
      </c>
      <c r="Q121" s="145">
        <v>0.5</v>
      </c>
      <c r="R121" s="144">
        <f t="shared" si="242"/>
        <v>23.245784012567928</v>
      </c>
      <c r="S121" s="147">
        <v>1</v>
      </c>
      <c r="T121" s="144">
        <f t="shared" si="243"/>
        <v>46.491568025135855</v>
      </c>
      <c r="U121" s="145"/>
      <c r="V121" s="144">
        <f t="shared" si="244"/>
        <v>0</v>
      </c>
      <c r="W121" s="147"/>
      <c r="X121" s="144">
        <f t="shared" si="245"/>
        <v>0</v>
      </c>
      <c r="Y121" s="145"/>
      <c r="Z121" s="144">
        <f t="shared" si="246"/>
        <v>0</v>
      </c>
      <c r="AA121" s="147"/>
      <c r="AB121" s="144">
        <f t="shared" si="247"/>
        <v>0</v>
      </c>
      <c r="AC121" s="145"/>
      <c r="AD121" s="144">
        <f t="shared" si="248"/>
        <v>0</v>
      </c>
      <c r="AE121" s="147"/>
      <c r="AF121" s="144">
        <f t="shared" si="249"/>
        <v>0</v>
      </c>
      <c r="AG121" s="145"/>
      <c r="AH121" s="144">
        <f t="shared" si="250"/>
        <v>0</v>
      </c>
      <c r="AI121" s="147"/>
      <c r="AJ121" s="144">
        <f t="shared" si="251"/>
        <v>0</v>
      </c>
      <c r="AK121" s="145"/>
      <c r="AL121" s="144">
        <f t="shared" si="252"/>
        <v>0</v>
      </c>
      <c r="AM121" s="147"/>
      <c r="AN121" s="144">
        <f t="shared" si="253"/>
        <v>0</v>
      </c>
      <c r="AO121" s="145"/>
      <c r="AP121" s="144">
        <f t="shared" si="254"/>
        <v>0</v>
      </c>
      <c r="AQ121" s="147"/>
      <c r="AR121" s="144">
        <f t="shared" si="255"/>
        <v>0</v>
      </c>
      <c r="AS121" s="148">
        <f>AS120</f>
        <v>0</v>
      </c>
      <c r="AT121" s="149">
        <f t="shared" ref="AT121" si="257">AS121*0.9</f>
        <v>0</v>
      </c>
      <c r="AU121" s="150">
        <f>AU120</f>
        <v>0</v>
      </c>
      <c r="AV121" s="144">
        <f t="shared" si="155"/>
        <v>0</v>
      </c>
      <c r="AW121" s="151">
        <f>AW120</f>
        <v>0</v>
      </c>
      <c r="AX121" s="152">
        <f t="shared" si="156"/>
        <v>0</v>
      </c>
      <c r="AY121" s="144">
        <f t="shared" ref="AY121" si="258">(AU121-AX121)*AT121</f>
        <v>0</v>
      </c>
      <c r="AZ121" s="144">
        <f t="shared" si="157"/>
        <v>71.880784012567929</v>
      </c>
      <c r="BA121" s="144">
        <f t="shared" si="256"/>
        <v>69.754443025135856</v>
      </c>
      <c r="BB121" s="153">
        <f t="shared" si="159"/>
        <v>0</v>
      </c>
      <c r="BC121" s="241">
        <v>0.4</v>
      </c>
      <c r="BD121" s="155">
        <f>BE121-BD120</f>
        <v>0</v>
      </c>
      <c r="BE121" s="285">
        <v>0</v>
      </c>
      <c r="BG121" s="293"/>
    </row>
    <row r="122" spans="1:59" ht="14.25" x14ac:dyDescent="0.25">
      <c r="A122" s="277"/>
      <c r="B122" s="294"/>
      <c r="C122" s="244" t="s">
        <v>65</v>
      </c>
      <c r="D122" s="252" t="str">
        <f>D109</f>
        <v>ja</v>
      </c>
      <c r="E122" s="253" t="s">
        <v>76</v>
      </c>
      <c r="F122" s="281">
        <v>0.5</v>
      </c>
      <c r="G122" s="282">
        <v>25</v>
      </c>
      <c r="H122" s="322">
        <f t="shared" si="237"/>
        <v>26.445</v>
      </c>
      <c r="I122" s="257">
        <v>0.6</v>
      </c>
      <c r="J122" s="322">
        <f t="shared" si="238"/>
        <v>82.577999999999989</v>
      </c>
      <c r="K122" s="280">
        <v>0.9</v>
      </c>
      <c r="L122" s="322">
        <f t="shared" si="239"/>
        <v>123.867</v>
      </c>
      <c r="M122" s="257">
        <v>1</v>
      </c>
      <c r="N122" s="322">
        <f t="shared" si="240"/>
        <v>48.635000000000005</v>
      </c>
      <c r="O122" s="280">
        <v>2</v>
      </c>
      <c r="P122" s="322">
        <f t="shared" si="241"/>
        <v>97.27000000000001</v>
      </c>
      <c r="Q122" s="257">
        <v>1</v>
      </c>
      <c r="R122" s="322">
        <f t="shared" si="242"/>
        <v>46.491568025135855</v>
      </c>
      <c r="S122" s="280">
        <v>1.5</v>
      </c>
      <c r="T122" s="322">
        <f t="shared" si="243"/>
        <v>69.737352037703786</v>
      </c>
      <c r="U122" s="257"/>
      <c r="V122" s="322">
        <f t="shared" si="244"/>
        <v>0</v>
      </c>
      <c r="W122" s="280"/>
      <c r="X122" s="322">
        <f t="shared" si="245"/>
        <v>0</v>
      </c>
      <c r="Y122" s="257"/>
      <c r="Z122" s="322">
        <f t="shared" si="246"/>
        <v>0</v>
      </c>
      <c r="AA122" s="280"/>
      <c r="AB122" s="322">
        <f t="shared" si="247"/>
        <v>0</v>
      </c>
      <c r="AC122" s="257"/>
      <c r="AD122" s="322">
        <f t="shared" si="248"/>
        <v>0</v>
      </c>
      <c r="AE122" s="280"/>
      <c r="AF122" s="322">
        <f t="shared" si="249"/>
        <v>0</v>
      </c>
      <c r="AG122" s="257"/>
      <c r="AH122" s="322">
        <f t="shared" si="250"/>
        <v>0</v>
      </c>
      <c r="AI122" s="280"/>
      <c r="AJ122" s="322">
        <f t="shared" si="251"/>
        <v>0</v>
      </c>
      <c r="AK122" s="257"/>
      <c r="AL122" s="322">
        <f t="shared" si="252"/>
        <v>0</v>
      </c>
      <c r="AM122" s="280"/>
      <c r="AN122" s="322">
        <f t="shared" si="253"/>
        <v>0</v>
      </c>
      <c r="AO122" s="257"/>
      <c r="AP122" s="322">
        <f t="shared" si="254"/>
        <v>0</v>
      </c>
      <c r="AQ122" s="280"/>
      <c r="AR122" s="322">
        <f t="shared" si="255"/>
        <v>0</v>
      </c>
      <c r="AS122" s="259">
        <v>0</v>
      </c>
      <c r="AT122" s="260">
        <f>AS122*0.9</f>
        <v>0</v>
      </c>
      <c r="AU122" s="261">
        <f>AU120</f>
        <v>0</v>
      </c>
      <c r="AV122" s="322">
        <f>AU122*(AS122-AT122)</f>
        <v>0</v>
      </c>
      <c r="AW122" s="262">
        <v>0</v>
      </c>
      <c r="AX122" s="263">
        <f>AU122-AW122</f>
        <v>0</v>
      </c>
      <c r="AY122" s="322">
        <f>(AU122-AX122)*AT122</f>
        <v>0</v>
      </c>
      <c r="AZ122" s="322">
        <f>IF(SUM(AN122+AC122+Y122+U122+Q122+M122+I122)=0,0,J122+N122+R122+V122+Z122+AD122+AG122+AK122+AO122+AW122)</f>
        <v>177.70456802513584</v>
      </c>
      <c r="BA122" s="322">
        <f t="shared" si="256"/>
        <v>267.62972703770384</v>
      </c>
      <c r="BB122" s="222">
        <f>IF(BA122-AZ122&gt;0,BA122-AZ122,0)</f>
        <v>89.925159012568002</v>
      </c>
      <c r="BC122" s="264">
        <v>0.6</v>
      </c>
      <c r="BD122" s="265">
        <f>BC122*BE123</f>
        <v>0.06</v>
      </c>
      <c r="BG122" s="293"/>
    </row>
    <row r="123" spans="1:59" ht="14.25" x14ac:dyDescent="0.25">
      <c r="A123" s="277"/>
      <c r="B123" s="294"/>
      <c r="C123" s="245"/>
      <c r="D123" s="140" t="str">
        <f>D110</f>
        <v>nein</v>
      </c>
      <c r="E123" s="141" t="s">
        <v>76</v>
      </c>
      <c r="F123" s="142">
        <v>1</v>
      </c>
      <c r="G123" s="143">
        <v>25</v>
      </c>
      <c r="H123" s="144">
        <f t="shared" si="237"/>
        <v>38.945</v>
      </c>
      <c r="I123" s="145"/>
      <c r="J123" s="144">
        <f t="shared" si="238"/>
        <v>0</v>
      </c>
      <c r="K123" s="147"/>
      <c r="L123" s="144">
        <f t="shared" si="239"/>
        <v>0</v>
      </c>
      <c r="M123" s="145">
        <v>1</v>
      </c>
      <c r="N123" s="144">
        <f t="shared" si="240"/>
        <v>48.635000000000005</v>
      </c>
      <c r="O123" s="147">
        <v>2</v>
      </c>
      <c r="P123" s="144">
        <f t="shared" si="241"/>
        <v>97.27000000000001</v>
      </c>
      <c r="Q123" s="145">
        <v>1</v>
      </c>
      <c r="R123" s="144">
        <f t="shared" si="242"/>
        <v>46.491568025135855</v>
      </c>
      <c r="S123" s="147">
        <v>2</v>
      </c>
      <c r="T123" s="144">
        <f t="shared" si="243"/>
        <v>92.98313605027171</v>
      </c>
      <c r="U123" s="145"/>
      <c r="V123" s="144">
        <f t="shared" si="244"/>
        <v>0</v>
      </c>
      <c r="W123" s="147"/>
      <c r="X123" s="144">
        <f t="shared" si="245"/>
        <v>0</v>
      </c>
      <c r="Y123" s="145"/>
      <c r="Z123" s="144">
        <f t="shared" si="246"/>
        <v>0</v>
      </c>
      <c r="AA123" s="147"/>
      <c r="AB123" s="144">
        <f t="shared" si="247"/>
        <v>0</v>
      </c>
      <c r="AC123" s="145"/>
      <c r="AD123" s="144">
        <f t="shared" si="248"/>
        <v>0</v>
      </c>
      <c r="AE123" s="147"/>
      <c r="AF123" s="144">
        <f t="shared" si="249"/>
        <v>0</v>
      </c>
      <c r="AG123" s="145"/>
      <c r="AH123" s="144">
        <f t="shared" si="250"/>
        <v>0</v>
      </c>
      <c r="AI123" s="147"/>
      <c r="AJ123" s="144">
        <f t="shared" si="251"/>
        <v>0</v>
      </c>
      <c r="AK123" s="145"/>
      <c r="AL123" s="144">
        <f t="shared" si="252"/>
        <v>0</v>
      </c>
      <c r="AM123" s="147"/>
      <c r="AN123" s="144">
        <f t="shared" si="253"/>
        <v>0</v>
      </c>
      <c r="AO123" s="145"/>
      <c r="AP123" s="144">
        <f t="shared" si="254"/>
        <v>0</v>
      </c>
      <c r="AQ123" s="147"/>
      <c r="AR123" s="144">
        <f t="shared" si="255"/>
        <v>0</v>
      </c>
      <c r="AS123" s="148">
        <f>AS122</f>
        <v>0</v>
      </c>
      <c r="AT123" s="149">
        <f t="shared" ref="AT123" si="259">AS123*0.9</f>
        <v>0</v>
      </c>
      <c r="AU123" s="150">
        <f>AU122</f>
        <v>0</v>
      </c>
      <c r="AV123" s="144">
        <f>AU123*(AS123-AT123)</f>
        <v>0</v>
      </c>
      <c r="AW123" s="151">
        <f>AW122</f>
        <v>0</v>
      </c>
      <c r="AX123" s="152">
        <f>AU123-AW123</f>
        <v>0</v>
      </c>
      <c r="AY123" s="144">
        <f t="shared" ref="AY123" si="260">(AU123-AX123)*AT123</f>
        <v>0</v>
      </c>
      <c r="AZ123" s="144">
        <f>IF(SUM(AN123+AC123+Y123+U123+Q123+M123+I123)=0,0,J123+N123+R123+V123+Z123+AD123+AG123+AK123+AO123+AW123)</f>
        <v>95.126568025135867</v>
      </c>
      <c r="BA123" s="144">
        <f t="shared" si="256"/>
        <v>179.50851105027172</v>
      </c>
      <c r="BB123" s="153">
        <f>IF(BA123-AZ123&gt;0,BA123-AZ123,0)</f>
        <v>84.381943025135854</v>
      </c>
      <c r="BC123" s="241">
        <v>0.4</v>
      </c>
      <c r="BD123" s="155">
        <f>BE123-BD122</f>
        <v>4.0000000000000008E-2</v>
      </c>
      <c r="BE123" s="285">
        <v>0.1</v>
      </c>
      <c r="BG123" s="293"/>
    </row>
    <row r="124" spans="1:59" ht="14.25" x14ac:dyDescent="0.25">
      <c r="A124" s="277"/>
      <c r="B124" s="294"/>
      <c r="C124" s="246" t="s">
        <v>66</v>
      </c>
      <c r="D124" s="252" t="str">
        <f>D111</f>
        <v>ja</v>
      </c>
      <c r="E124" s="253" t="s">
        <v>76</v>
      </c>
      <c r="F124" s="281">
        <v>0.5</v>
      </c>
      <c r="G124" s="282">
        <v>25</v>
      </c>
      <c r="H124" s="322">
        <f t="shared" si="237"/>
        <v>26.445</v>
      </c>
      <c r="I124" s="257">
        <v>0.6</v>
      </c>
      <c r="J124" s="322">
        <f t="shared" si="238"/>
        <v>82.577999999999989</v>
      </c>
      <c r="K124" s="280">
        <v>0.9</v>
      </c>
      <c r="L124" s="322">
        <f t="shared" si="239"/>
        <v>123.867</v>
      </c>
      <c r="M124" s="257">
        <v>1</v>
      </c>
      <c r="N124" s="322">
        <f t="shared" si="240"/>
        <v>48.635000000000005</v>
      </c>
      <c r="O124" s="280">
        <v>2.5</v>
      </c>
      <c r="P124" s="322">
        <f t="shared" si="241"/>
        <v>121.58750000000001</v>
      </c>
      <c r="Q124" s="257">
        <v>1</v>
      </c>
      <c r="R124" s="322">
        <f t="shared" si="242"/>
        <v>46.491568025135855</v>
      </c>
      <c r="S124" s="280">
        <v>1</v>
      </c>
      <c r="T124" s="322">
        <f t="shared" si="243"/>
        <v>46.491568025135855</v>
      </c>
      <c r="U124" s="257"/>
      <c r="V124" s="322">
        <f t="shared" si="244"/>
        <v>0</v>
      </c>
      <c r="W124" s="280"/>
      <c r="X124" s="322">
        <f t="shared" si="245"/>
        <v>0</v>
      </c>
      <c r="Y124" s="257"/>
      <c r="Z124" s="322">
        <f t="shared" si="246"/>
        <v>0</v>
      </c>
      <c r="AA124" s="280"/>
      <c r="AB124" s="322">
        <f t="shared" si="247"/>
        <v>0</v>
      </c>
      <c r="AC124" s="257"/>
      <c r="AD124" s="322">
        <f t="shared" si="248"/>
        <v>0</v>
      </c>
      <c r="AE124" s="280"/>
      <c r="AF124" s="322">
        <f t="shared" si="249"/>
        <v>0</v>
      </c>
      <c r="AG124" s="257"/>
      <c r="AH124" s="322">
        <f t="shared" si="250"/>
        <v>0</v>
      </c>
      <c r="AI124" s="280"/>
      <c r="AJ124" s="322">
        <f t="shared" si="251"/>
        <v>0</v>
      </c>
      <c r="AK124" s="257"/>
      <c r="AL124" s="322">
        <f t="shared" si="252"/>
        <v>0</v>
      </c>
      <c r="AM124" s="280"/>
      <c r="AN124" s="322">
        <f t="shared" si="253"/>
        <v>0</v>
      </c>
      <c r="AO124" s="257"/>
      <c r="AP124" s="322">
        <f t="shared" si="254"/>
        <v>0</v>
      </c>
      <c r="AQ124" s="280"/>
      <c r="AR124" s="322">
        <f t="shared" si="255"/>
        <v>0</v>
      </c>
      <c r="AS124" s="259">
        <v>0</v>
      </c>
      <c r="AT124" s="260">
        <f>AS124*0.9</f>
        <v>0</v>
      </c>
      <c r="AU124" s="261">
        <f>AU122</f>
        <v>0</v>
      </c>
      <c r="AV124" s="322">
        <f>AU124*(AS124-AT124)</f>
        <v>0</v>
      </c>
      <c r="AW124" s="262">
        <v>0</v>
      </c>
      <c r="AX124" s="263">
        <f>AU124-AW124</f>
        <v>0</v>
      </c>
      <c r="AY124" s="322">
        <f>(AU124-AX124)*AT124</f>
        <v>0</v>
      </c>
      <c r="AZ124" s="322">
        <f>IF(SUM(AN124+AC124+Y124+U124+Q124+M124+I124)=0,0,J124+N124+R124+V124+Z124+AD124+AG124+AK124+AO124+AW124)</f>
        <v>177.70456802513584</v>
      </c>
      <c r="BA124" s="322">
        <f t="shared" si="256"/>
        <v>268.70144302513586</v>
      </c>
      <c r="BB124" s="222">
        <f>IF(BA124-AZ124&gt;0,BA124-AZ124,0)</f>
        <v>90.996875000000017</v>
      </c>
      <c r="BC124" s="264">
        <v>0.6</v>
      </c>
      <c r="BD124" s="265">
        <f>BC124*BE125</f>
        <v>0.54</v>
      </c>
    </row>
    <row r="125" spans="1:59" ht="15" thickBot="1" x14ac:dyDescent="0.3">
      <c r="A125" s="277"/>
      <c r="B125" s="294"/>
      <c r="C125" s="249"/>
      <c r="D125" s="140" t="str">
        <f>D112</f>
        <v>nein</v>
      </c>
      <c r="E125" s="141" t="s">
        <v>76</v>
      </c>
      <c r="F125" s="142">
        <v>1</v>
      </c>
      <c r="G125" s="143">
        <v>25</v>
      </c>
      <c r="H125" s="144">
        <f t="shared" si="237"/>
        <v>38.945</v>
      </c>
      <c r="I125" s="145"/>
      <c r="J125" s="144">
        <f t="shared" si="238"/>
        <v>0</v>
      </c>
      <c r="K125" s="147"/>
      <c r="L125" s="144">
        <f t="shared" si="239"/>
        <v>0</v>
      </c>
      <c r="M125" s="145">
        <v>1</v>
      </c>
      <c r="N125" s="144">
        <f t="shared" si="240"/>
        <v>48.635000000000005</v>
      </c>
      <c r="O125" s="147">
        <v>2.5</v>
      </c>
      <c r="P125" s="144">
        <f t="shared" si="241"/>
        <v>121.58750000000001</v>
      </c>
      <c r="Q125" s="145">
        <v>1</v>
      </c>
      <c r="R125" s="144">
        <f t="shared" si="242"/>
        <v>46.491568025135855</v>
      </c>
      <c r="S125" s="147">
        <v>1.5</v>
      </c>
      <c r="T125" s="144">
        <f t="shared" si="243"/>
        <v>69.737352037703786</v>
      </c>
      <c r="U125" s="145"/>
      <c r="V125" s="144">
        <f t="shared" si="244"/>
        <v>0</v>
      </c>
      <c r="W125" s="147"/>
      <c r="X125" s="144">
        <f t="shared" si="245"/>
        <v>0</v>
      </c>
      <c r="Y125" s="145"/>
      <c r="Z125" s="144">
        <f t="shared" si="246"/>
        <v>0</v>
      </c>
      <c r="AA125" s="147"/>
      <c r="AB125" s="144">
        <f t="shared" si="247"/>
        <v>0</v>
      </c>
      <c r="AC125" s="145"/>
      <c r="AD125" s="144">
        <f t="shared" si="248"/>
        <v>0</v>
      </c>
      <c r="AE125" s="147"/>
      <c r="AF125" s="144">
        <f t="shared" si="249"/>
        <v>0</v>
      </c>
      <c r="AG125" s="145"/>
      <c r="AH125" s="144">
        <f t="shared" si="250"/>
        <v>0</v>
      </c>
      <c r="AI125" s="147"/>
      <c r="AJ125" s="144">
        <f t="shared" si="251"/>
        <v>0</v>
      </c>
      <c r="AK125" s="145"/>
      <c r="AL125" s="144">
        <f t="shared" si="252"/>
        <v>0</v>
      </c>
      <c r="AM125" s="147"/>
      <c r="AN125" s="144">
        <f t="shared" si="253"/>
        <v>0</v>
      </c>
      <c r="AO125" s="145"/>
      <c r="AP125" s="144">
        <f t="shared" si="254"/>
        <v>0</v>
      </c>
      <c r="AQ125" s="147"/>
      <c r="AR125" s="144">
        <f t="shared" si="255"/>
        <v>0</v>
      </c>
      <c r="AS125" s="148">
        <f>AS124</f>
        <v>0</v>
      </c>
      <c r="AT125" s="149">
        <f t="shared" ref="AT125" si="261">AS125*0.9</f>
        <v>0</v>
      </c>
      <c r="AU125" s="150">
        <f>AU124</f>
        <v>0</v>
      </c>
      <c r="AV125" s="144">
        <f>AU125*(AS125-AT125)</f>
        <v>0</v>
      </c>
      <c r="AW125" s="151">
        <f>AW124</f>
        <v>0</v>
      </c>
      <c r="AX125" s="152">
        <f>AU125-AW125</f>
        <v>0</v>
      </c>
      <c r="AY125" s="144">
        <f t="shared" ref="AY125" si="262">(AU125-AX125)*AT125</f>
        <v>0</v>
      </c>
      <c r="AZ125" s="144">
        <f>IF(SUM(AN125+AC125+Y125+U125+Q125+M125+I125)=0,0,J125+N125+R125+V125+Z125+AD125+AG125+AK125+AO125+AW125)</f>
        <v>95.126568025135867</v>
      </c>
      <c r="BA125" s="144">
        <f t="shared" si="256"/>
        <v>180.58022703770379</v>
      </c>
      <c r="BB125" s="153">
        <f>IF(BA125-AZ125&gt;0,BA125-AZ125,0)</f>
        <v>85.453659012567925</v>
      </c>
      <c r="BC125" s="241">
        <v>0.4</v>
      </c>
      <c r="BD125" s="155">
        <f>BE125-BD124</f>
        <v>0.36</v>
      </c>
      <c r="BE125" s="223">
        <f>1-BE123-BE121</f>
        <v>0.9</v>
      </c>
    </row>
    <row r="126" spans="1:59" ht="14.25" x14ac:dyDescent="0.25">
      <c r="A126" s="277"/>
      <c r="B126" s="294"/>
      <c r="C126" s="71" t="s">
        <v>69</v>
      </c>
      <c r="D126" s="121" t="s">
        <v>62</v>
      </c>
      <c r="E126" s="194"/>
      <c r="F126" s="195"/>
      <c r="G126" s="196"/>
      <c r="H126" s="197"/>
      <c r="I126" s="198"/>
      <c r="J126" s="197"/>
      <c r="K126" s="199"/>
      <c r="L126" s="197"/>
      <c r="M126" s="198"/>
      <c r="N126" s="197"/>
      <c r="O126" s="199"/>
      <c r="P126" s="197"/>
      <c r="Q126" s="198"/>
      <c r="R126" s="197"/>
      <c r="S126" s="199"/>
      <c r="T126" s="197"/>
      <c r="U126" s="198"/>
      <c r="V126" s="197"/>
      <c r="W126" s="199"/>
      <c r="X126" s="197"/>
      <c r="Y126" s="198"/>
      <c r="Z126" s="197"/>
      <c r="AA126" s="199"/>
      <c r="AB126" s="197"/>
      <c r="AC126" s="198"/>
      <c r="AD126" s="197"/>
      <c r="AE126" s="199"/>
      <c r="AF126" s="197"/>
      <c r="AG126" s="198"/>
      <c r="AH126" s="197"/>
      <c r="AI126" s="199"/>
      <c r="AJ126" s="197"/>
      <c r="AK126" s="198"/>
      <c r="AL126" s="197"/>
      <c r="AM126" s="199"/>
      <c r="AN126" s="197"/>
      <c r="AO126" s="198"/>
      <c r="AP126" s="197"/>
      <c r="AQ126" s="199"/>
      <c r="AR126" s="197"/>
      <c r="AS126" s="200"/>
      <c r="AT126" s="200"/>
      <c r="AU126" s="201"/>
      <c r="AV126" s="197"/>
      <c r="AW126" s="201"/>
      <c r="AX126" s="201"/>
      <c r="AY126" s="197"/>
      <c r="AZ126" s="197"/>
      <c r="BA126" s="197"/>
      <c r="BB126" s="220">
        <f>(BB120*BD120+BB122*BD122+BB124*BD124)/(BD120+BD122+BD124)</f>
        <v>90.889703401256796</v>
      </c>
      <c r="BC126" s="203"/>
      <c r="BD126" s="136">
        <f>BD120+BD122+BD124</f>
        <v>0.60000000000000009</v>
      </c>
    </row>
    <row r="127" spans="1:59" ht="15" thickBot="1" x14ac:dyDescent="0.3">
      <c r="A127" s="277"/>
      <c r="B127" s="294"/>
      <c r="C127" s="93"/>
      <c r="D127" s="178" t="s">
        <v>64</v>
      </c>
      <c r="E127" s="312"/>
      <c r="F127" s="205"/>
      <c r="G127" s="206"/>
      <c r="H127" s="115"/>
      <c r="I127" s="207"/>
      <c r="J127" s="115"/>
      <c r="K127" s="208"/>
      <c r="L127" s="115"/>
      <c r="M127" s="207"/>
      <c r="N127" s="115"/>
      <c r="O127" s="208"/>
      <c r="P127" s="115"/>
      <c r="Q127" s="207"/>
      <c r="R127" s="115"/>
      <c r="S127" s="208"/>
      <c r="T127" s="115"/>
      <c r="U127" s="207"/>
      <c r="V127" s="115"/>
      <c r="W127" s="208"/>
      <c r="X127" s="115"/>
      <c r="Y127" s="207"/>
      <c r="Z127" s="115"/>
      <c r="AA127" s="208"/>
      <c r="AB127" s="115"/>
      <c r="AC127" s="207"/>
      <c r="AD127" s="115"/>
      <c r="AE127" s="208"/>
      <c r="AF127" s="115"/>
      <c r="AG127" s="207"/>
      <c r="AH127" s="115"/>
      <c r="AI127" s="208"/>
      <c r="AJ127" s="115"/>
      <c r="AK127" s="207"/>
      <c r="AL127" s="115"/>
      <c r="AM127" s="208"/>
      <c r="AN127" s="115"/>
      <c r="AO127" s="207"/>
      <c r="AP127" s="115"/>
      <c r="AQ127" s="208"/>
      <c r="AR127" s="115"/>
      <c r="AS127" s="209"/>
      <c r="AT127" s="209"/>
      <c r="AU127" s="210"/>
      <c r="AV127" s="115"/>
      <c r="AW127" s="210"/>
      <c r="AX127" s="210"/>
      <c r="AY127" s="115"/>
      <c r="AZ127" s="115"/>
      <c r="BA127" s="115"/>
      <c r="BB127" s="225">
        <f>(BB121*BD121+BB123*BD123+BB125*BD125)/(BD121+BD123+BD125)</f>
        <v>85.346487413824704</v>
      </c>
      <c r="BC127" s="211"/>
      <c r="BD127" s="192">
        <f>BD121+BD123+BD125</f>
        <v>0.4</v>
      </c>
    </row>
    <row r="128" spans="1:59" ht="16.5" thickBot="1" x14ac:dyDescent="0.3">
      <c r="A128" s="229" t="s">
        <v>77</v>
      </c>
      <c r="B128" s="320"/>
      <c r="C128" s="321"/>
      <c r="D128" s="231"/>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3">
        <f>(BB126*BD126+BB127*BD127)/(BD126+BD127)</f>
        <v>88.672417006283979</v>
      </c>
      <c r="BC128" s="291"/>
      <c r="BD128" s="292"/>
    </row>
    <row r="129" spans="1:59" ht="14.25" x14ac:dyDescent="0.25">
      <c r="A129" s="275" t="s">
        <v>68</v>
      </c>
      <c r="B129" s="69" t="s">
        <v>62</v>
      </c>
      <c r="C129" s="120" t="s">
        <v>61</v>
      </c>
      <c r="D129" s="121" t="str">
        <f>D120</f>
        <v>ja</v>
      </c>
      <c r="E129" s="122"/>
      <c r="F129" s="123">
        <v>0</v>
      </c>
      <c r="G129" s="124">
        <v>0</v>
      </c>
      <c r="H129" s="134">
        <f t="shared" ref="H129:H136" si="263">IF(F129=0,0,F129*G129+$G$8+$G$9)</f>
        <v>0</v>
      </c>
      <c r="I129" s="126">
        <v>0.1</v>
      </c>
      <c r="J129" s="134">
        <f t="shared" ref="J129:J136" si="264">I129*(I$13*$B$9+K$13)</f>
        <v>13.763</v>
      </c>
      <c r="K129" s="128">
        <v>0.3</v>
      </c>
      <c r="L129" s="134">
        <f t="shared" ref="L129:L136" si="265">K129*(I$13*$B$9+K$13)</f>
        <v>41.288999999999994</v>
      </c>
      <c r="M129" s="126">
        <v>0.9</v>
      </c>
      <c r="N129" s="134">
        <f t="shared" ref="N129:N136" si="266">M129*(M$13*$B$9+O$13)</f>
        <v>43.771500000000003</v>
      </c>
      <c r="O129" s="128">
        <v>2</v>
      </c>
      <c r="P129" s="134">
        <f t="shared" ref="P129:P136" si="267">O129*(M$13*$B$9+O$13)</f>
        <v>97.27000000000001</v>
      </c>
      <c r="Q129" s="126">
        <v>0.5</v>
      </c>
      <c r="R129" s="134">
        <f t="shared" ref="R129:R136" si="268">Q129*(Q$13*$B$9+S$13)</f>
        <v>23.245784012567928</v>
      </c>
      <c r="S129" s="128">
        <v>1.5</v>
      </c>
      <c r="T129" s="134">
        <f t="shared" ref="T129:T136" si="269">S129*(Q$13*$B$9+S$13)</f>
        <v>69.737352037703786</v>
      </c>
      <c r="U129" s="126"/>
      <c r="V129" s="134">
        <f t="shared" ref="V129:V136" si="270">U129*(U$13*$B$9+W$13)</f>
        <v>0</v>
      </c>
      <c r="W129" s="128"/>
      <c r="X129" s="134">
        <f t="shared" ref="X129:X136" si="271">W129*(U$13*$B$9+W$13)</f>
        <v>0</v>
      </c>
      <c r="Y129" s="126">
        <v>0.3</v>
      </c>
      <c r="Z129" s="134">
        <f t="shared" ref="Z129:Z136" si="272">Y129*(Y$13*$B$9+AA$13)</f>
        <v>15.846142857142857</v>
      </c>
      <c r="AA129" s="128">
        <v>1</v>
      </c>
      <c r="AB129" s="134">
        <f t="shared" ref="AB129:AB136" si="273">AA129*(Y$13*$B$9+AA$13)</f>
        <v>52.820476190476192</v>
      </c>
      <c r="AC129" s="126"/>
      <c r="AD129" s="134">
        <f t="shared" ref="AD129:AD136" si="274">AC129*(AC$13*$B$9+AE$13)</f>
        <v>0</v>
      </c>
      <c r="AE129" s="128">
        <v>0.5</v>
      </c>
      <c r="AF129" s="134">
        <f t="shared" ref="AF129:AF136" si="275">AE129*(AC$13*$B$9+AE$13)</f>
        <v>24.265530618263021</v>
      </c>
      <c r="AG129" s="126"/>
      <c r="AH129" s="134">
        <f t="shared" ref="AH129:AH136" si="276">AG129*(AG$13*$B$9+AI$13)</f>
        <v>0</v>
      </c>
      <c r="AI129" s="128"/>
      <c r="AJ129" s="134">
        <f t="shared" ref="AJ129:AJ136" si="277">AI129*(AG$13*$B$9+AI$13)</f>
        <v>0</v>
      </c>
      <c r="AK129" s="126"/>
      <c r="AL129" s="134">
        <f t="shared" ref="AL129:AL136" si="278">AK129*(AK$13*$B$9+AM$13)</f>
        <v>0</v>
      </c>
      <c r="AM129" s="128"/>
      <c r="AN129" s="134">
        <f t="shared" ref="AN129:AN136" si="279">AM129*(AK$13*$B$9+AM$13)</f>
        <v>0</v>
      </c>
      <c r="AO129" s="126"/>
      <c r="AP129" s="134">
        <f t="shared" ref="AP129:AP136" si="280">AO129*(AO$13*$B$9+AQ$13)</f>
        <v>0</v>
      </c>
      <c r="AQ129" s="128"/>
      <c r="AR129" s="134">
        <f t="shared" ref="AR129:AR136" si="281">AQ129*(AO$13*$B$9+AQ$13)</f>
        <v>0</v>
      </c>
      <c r="AS129" s="129">
        <v>0</v>
      </c>
      <c r="AT129" s="130">
        <f>AS129*0.9</f>
        <v>0</v>
      </c>
      <c r="AU129" s="131">
        <v>0</v>
      </c>
      <c r="AV129" s="134">
        <f t="shared" ref="AV129:AV136" si="282">AU129*(AS129-AT129)</f>
        <v>0</v>
      </c>
      <c r="AW129" s="132">
        <v>0</v>
      </c>
      <c r="AX129" s="133">
        <f>AU129-AW129</f>
        <v>0</v>
      </c>
      <c r="AY129" s="134">
        <f>(AU129-AX129)*AT129</f>
        <v>0</v>
      </c>
      <c r="AZ129" s="134">
        <f t="shared" ref="AZ129:AZ136" si="283">IF(SUM(AN129+AC129+Y129+U129+Q129+M129+I129)=0,0,J129+N129+R129+V129+Z129+AD129+AG129+AK129+AO129+AW129)</f>
        <v>96.626426869710784</v>
      </c>
      <c r="BA129" s="134">
        <f t="shared" ref="BA129:BA136" si="284">IF(SUM(AQ129+AE129+AA129+W129+S129+O129+K129)=0,0,H129+L129+P129+T129+X129+AB129+AF129+AJ129+AN129+AR129+AV129+AY129-$G$11)</f>
        <v>235.69273384644302</v>
      </c>
      <c r="BB129" s="220">
        <f t="shared" ref="BB129:BB136" si="285">IF(BA129-AZ129&gt;0,BA129-AZ129,0)</f>
        <v>139.06630697673222</v>
      </c>
      <c r="BC129" s="238">
        <v>0.5</v>
      </c>
      <c r="BD129" s="136">
        <f>0.4*BC129*BE141</f>
        <v>2.0000000000000004E-2</v>
      </c>
    </row>
    <row r="130" spans="1:59" ht="14.25" x14ac:dyDescent="0.25">
      <c r="A130" s="277"/>
      <c r="B130" s="138"/>
      <c r="C130" s="139"/>
      <c r="D130" s="140" t="str">
        <f>D121</f>
        <v>nein</v>
      </c>
      <c r="E130" s="141"/>
      <c r="F130" s="142">
        <v>0</v>
      </c>
      <c r="G130" s="143">
        <v>0</v>
      </c>
      <c r="H130" s="153">
        <f t="shared" si="263"/>
        <v>0</v>
      </c>
      <c r="I130" s="145">
        <v>0</v>
      </c>
      <c r="J130" s="153">
        <f t="shared" si="264"/>
        <v>0</v>
      </c>
      <c r="K130" s="147"/>
      <c r="L130" s="153">
        <f t="shared" si="265"/>
        <v>0</v>
      </c>
      <c r="M130" s="145">
        <v>1</v>
      </c>
      <c r="N130" s="153">
        <f t="shared" si="266"/>
        <v>48.635000000000005</v>
      </c>
      <c r="O130" s="147">
        <v>2</v>
      </c>
      <c r="P130" s="153">
        <f t="shared" si="267"/>
        <v>97.27000000000001</v>
      </c>
      <c r="Q130" s="145">
        <v>1</v>
      </c>
      <c r="R130" s="153">
        <f t="shared" si="268"/>
        <v>46.491568025135855</v>
      </c>
      <c r="S130" s="147">
        <v>1.5</v>
      </c>
      <c r="T130" s="153">
        <f t="shared" si="269"/>
        <v>69.737352037703786</v>
      </c>
      <c r="U130" s="145"/>
      <c r="V130" s="153">
        <f t="shared" si="270"/>
        <v>0</v>
      </c>
      <c r="W130" s="147"/>
      <c r="X130" s="153">
        <f t="shared" si="271"/>
        <v>0</v>
      </c>
      <c r="Y130" s="145">
        <v>0.5</v>
      </c>
      <c r="Z130" s="153">
        <f t="shared" si="272"/>
        <v>26.410238095238096</v>
      </c>
      <c r="AA130" s="147">
        <v>1</v>
      </c>
      <c r="AB130" s="153">
        <f t="shared" si="273"/>
        <v>52.820476190476192</v>
      </c>
      <c r="AC130" s="145"/>
      <c r="AD130" s="153">
        <f t="shared" si="274"/>
        <v>0</v>
      </c>
      <c r="AE130" s="147">
        <v>1</v>
      </c>
      <c r="AF130" s="153">
        <f t="shared" si="275"/>
        <v>48.531061236526043</v>
      </c>
      <c r="AG130" s="145"/>
      <c r="AH130" s="153">
        <f t="shared" si="276"/>
        <v>0</v>
      </c>
      <c r="AI130" s="147"/>
      <c r="AJ130" s="153">
        <f t="shared" si="277"/>
        <v>0</v>
      </c>
      <c r="AK130" s="145"/>
      <c r="AL130" s="153">
        <f t="shared" si="278"/>
        <v>0</v>
      </c>
      <c r="AM130" s="147"/>
      <c r="AN130" s="153">
        <f t="shared" si="279"/>
        <v>0</v>
      </c>
      <c r="AO130" s="145"/>
      <c r="AP130" s="153">
        <f t="shared" si="280"/>
        <v>0</v>
      </c>
      <c r="AQ130" s="147"/>
      <c r="AR130" s="153">
        <f t="shared" si="281"/>
        <v>0</v>
      </c>
      <c r="AS130" s="148">
        <f>AS129</f>
        <v>0</v>
      </c>
      <c r="AT130" s="149">
        <f>AS130*0.9</f>
        <v>0</v>
      </c>
      <c r="AU130" s="150">
        <f>AU129</f>
        <v>0</v>
      </c>
      <c r="AV130" s="153">
        <f t="shared" si="282"/>
        <v>0</v>
      </c>
      <c r="AW130" s="151">
        <f>AW129</f>
        <v>0</v>
      </c>
      <c r="AX130" s="152">
        <f>AU130-AW130</f>
        <v>0</v>
      </c>
      <c r="AY130" s="153">
        <f>(AU130-AX130)*AT130</f>
        <v>0</v>
      </c>
      <c r="AZ130" s="153">
        <f t="shared" si="283"/>
        <v>121.53680612037397</v>
      </c>
      <c r="BA130" s="153">
        <f t="shared" si="284"/>
        <v>218.66926446470606</v>
      </c>
      <c r="BB130" s="153">
        <f t="shared" si="285"/>
        <v>97.132458344332093</v>
      </c>
      <c r="BC130" s="241">
        <v>0.5</v>
      </c>
      <c r="BD130" s="155">
        <f>0.4*BC130*BE141</f>
        <v>2.0000000000000004E-2</v>
      </c>
    </row>
    <row r="131" spans="1:59" ht="14.25" x14ac:dyDescent="0.25">
      <c r="A131" s="277"/>
      <c r="B131" s="138"/>
      <c r="C131" s="242" t="s">
        <v>63</v>
      </c>
      <c r="D131" s="252" t="str">
        <f>D107</f>
        <v>ja</v>
      </c>
      <c r="E131" s="253"/>
      <c r="F131" s="254">
        <v>0</v>
      </c>
      <c r="G131" s="255">
        <v>0</v>
      </c>
      <c r="H131" s="256">
        <f t="shared" si="263"/>
        <v>0</v>
      </c>
      <c r="I131" s="257">
        <v>0.8</v>
      </c>
      <c r="J131" s="256">
        <f t="shared" si="264"/>
        <v>110.104</v>
      </c>
      <c r="K131" s="280">
        <v>1</v>
      </c>
      <c r="L131" s="256">
        <f t="shared" si="265"/>
        <v>137.63</v>
      </c>
      <c r="M131" s="257">
        <v>0.5</v>
      </c>
      <c r="N131" s="256">
        <f t="shared" si="266"/>
        <v>24.317500000000003</v>
      </c>
      <c r="O131" s="280">
        <v>2</v>
      </c>
      <c r="P131" s="256">
        <f t="shared" si="267"/>
        <v>97.27000000000001</v>
      </c>
      <c r="Q131" s="257">
        <v>1</v>
      </c>
      <c r="R131" s="256">
        <f t="shared" si="268"/>
        <v>46.491568025135855</v>
      </c>
      <c r="S131" s="280">
        <v>1.5</v>
      </c>
      <c r="T131" s="256">
        <f t="shared" si="269"/>
        <v>69.737352037703786</v>
      </c>
      <c r="U131" s="257"/>
      <c r="V131" s="256">
        <f t="shared" si="270"/>
        <v>0</v>
      </c>
      <c r="W131" s="280"/>
      <c r="X131" s="256">
        <f t="shared" si="271"/>
        <v>0</v>
      </c>
      <c r="Y131" s="257">
        <v>1.3</v>
      </c>
      <c r="Z131" s="256">
        <f t="shared" si="272"/>
        <v>68.666619047619051</v>
      </c>
      <c r="AA131" s="280">
        <v>2</v>
      </c>
      <c r="AB131" s="256">
        <f t="shared" si="273"/>
        <v>105.64095238095238</v>
      </c>
      <c r="AC131" s="257"/>
      <c r="AD131" s="256">
        <f t="shared" si="274"/>
        <v>0</v>
      </c>
      <c r="AE131" s="280">
        <v>0.5</v>
      </c>
      <c r="AF131" s="256">
        <f t="shared" si="275"/>
        <v>24.265530618263021</v>
      </c>
      <c r="AG131" s="257"/>
      <c r="AH131" s="256">
        <f t="shared" si="276"/>
        <v>0</v>
      </c>
      <c r="AI131" s="280"/>
      <c r="AJ131" s="256">
        <f t="shared" si="277"/>
        <v>0</v>
      </c>
      <c r="AK131" s="257"/>
      <c r="AL131" s="256">
        <f t="shared" si="278"/>
        <v>0</v>
      </c>
      <c r="AM131" s="280"/>
      <c r="AN131" s="256">
        <f t="shared" si="279"/>
        <v>0</v>
      </c>
      <c r="AO131" s="257"/>
      <c r="AP131" s="256">
        <f t="shared" si="280"/>
        <v>0</v>
      </c>
      <c r="AQ131" s="280"/>
      <c r="AR131" s="256">
        <f t="shared" si="281"/>
        <v>0</v>
      </c>
      <c r="AS131" s="260">
        <f>AS129</f>
        <v>0</v>
      </c>
      <c r="AT131" s="260">
        <f>AS131*0.9</f>
        <v>0</v>
      </c>
      <c r="AU131" s="261">
        <f>AU129</f>
        <v>0</v>
      </c>
      <c r="AV131" s="256">
        <f t="shared" si="282"/>
        <v>0</v>
      </c>
      <c r="AW131" s="262">
        <v>0</v>
      </c>
      <c r="AX131" s="263">
        <f>AU$129+AU131-AX$129</f>
        <v>0</v>
      </c>
      <c r="AY131" s="256">
        <f>(AU131-AX131)*AT131</f>
        <v>0</v>
      </c>
      <c r="AZ131" s="256">
        <f t="shared" si="283"/>
        <v>249.57968707275489</v>
      </c>
      <c r="BA131" s="256">
        <f t="shared" si="284"/>
        <v>384.85421003691926</v>
      </c>
      <c r="BB131" s="222">
        <f t="shared" si="285"/>
        <v>135.27452296416436</v>
      </c>
      <c r="BC131" s="264">
        <v>0.5</v>
      </c>
      <c r="BD131" s="265">
        <f>0.4*BC131*BE143</f>
        <v>0</v>
      </c>
    </row>
    <row r="132" spans="1:59" ht="14.25" x14ac:dyDescent="0.25">
      <c r="A132" s="277"/>
      <c r="B132" s="138"/>
      <c r="C132" s="139"/>
      <c r="D132" s="140" t="str">
        <f>D108</f>
        <v>nein</v>
      </c>
      <c r="E132" s="141"/>
      <c r="F132" s="142">
        <v>0</v>
      </c>
      <c r="G132" s="143">
        <v>0</v>
      </c>
      <c r="H132" s="144">
        <f t="shared" si="263"/>
        <v>0</v>
      </c>
      <c r="I132" s="145"/>
      <c r="J132" s="144">
        <f t="shared" si="264"/>
        <v>0</v>
      </c>
      <c r="K132" s="147"/>
      <c r="L132" s="144">
        <f t="shared" si="265"/>
        <v>0</v>
      </c>
      <c r="M132" s="145">
        <v>1</v>
      </c>
      <c r="N132" s="144">
        <f t="shared" si="266"/>
        <v>48.635000000000005</v>
      </c>
      <c r="O132" s="147">
        <v>2.5</v>
      </c>
      <c r="P132" s="144">
        <f t="shared" si="267"/>
        <v>121.58750000000001</v>
      </c>
      <c r="Q132" s="145">
        <v>1.5</v>
      </c>
      <c r="R132" s="144">
        <f t="shared" si="268"/>
        <v>69.737352037703786</v>
      </c>
      <c r="S132" s="147">
        <v>1.5</v>
      </c>
      <c r="T132" s="144">
        <f t="shared" si="269"/>
        <v>69.737352037703786</v>
      </c>
      <c r="U132" s="145"/>
      <c r="V132" s="144">
        <f t="shared" si="270"/>
        <v>0</v>
      </c>
      <c r="W132" s="147"/>
      <c r="X132" s="144">
        <f t="shared" si="271"/>
        <v>0</v>
      </c>
      <c r="Y132" s="145">
        <v>1.5</v>
      </c>
      <c r="Z132" s="144">
        <f t="shared" si="272"/>
        <v>79.230714285714285</v>
      </c>
      <c r="AA132" s="147">
        <v>2</v>
      </c>
      <c r="AB132" s="144">
        <f t="shared" si="273"/>
        <v>105.64095238095238</v>
      </c>
      <c r="AC132" s="145"/>
      <c r="AD132" s="144">
        <f t="shared" si="274"/>
        <v>0</v>
      </c>
      <c r="AE132" s="147">
        <v>1</v>
      </c>
      <c r="AF132" s="144">
        <f t="shared" si="275"/>
        <v>48.531061236526043</v>
      </c>
      <c r="AG132" s="145"/>
      <c r="AH132" s="144">
        <f t="shared" si="276"/>
        <v>0</v>
      </c>
      <c r="AI132" s="147"/>
      <c r="AJ132" s="144">
        <f t="shared" si="277"/>
        <v>0</v>
      </c>
      <c r="AK132" s="145"/>
      <c r="AL132" s="144">
        <f t="shared" si="278"/>
        <v>0</v>
      </c>
      <c r="AM132" s="147"/>
      <c r="AN132" s="144">
        <f t="shared" si="279"/>
        <v>0</v>
      </c>
      <c r="AO132" s="145"/>
      <c r="AP132" s="144">
        <f t="shared" si="280"/>
        <v>0</v>
      </c>
      <c r="AQ132" s="147"/>
      <c r="AR132" s="144">
        <f t="shared" si="281"/>
        <v>0</v>
      </c>
      <c r="AS132" s="148">
        <f>AS130</f>
        <v>0</v>
      </c>
      <c r="AT132" s="149">
        <f>AS132*0.9</f>
        <v>0</v>
      </c>
      <c r="AU132" s="150">
        <f>AU130</f>
        <v>0</v>
      </c>
      <c r="AV132" s="144">
        <f t="shared" si="282"/>
        <v>0</v>
      </c>
      <c r="AW132" s="151">
        <v>1</v>
      </c>
      <c r="AX132" s="152">
        <f>AU$129+AU132-AX$129</f>
        <v>0</v>
      </c>
      <c r="AY132" s="144">
        <f>(AU132-AX132)*AT132</f>
        <v>0</v>
      </c>
      <c r="AZ132" s="144">
        <f t="shared" si="283"/>
        <v>198.60306632341809</v>
      </c>
      <c r="BA132" s="144">
        <f t="shared" si="284"/>
        <v>295.80724065518228</v>
      </c>
      <c r="BB132" s="153">
        <f t="shared" si="285"/>
        <v>97.204174331764193</v>
      </c>
      <c r="BC132" s="241">
        <v>0.5</v>
      </c>
      <c r="BD132" s="155">
        <f>0.4*BC132*BE143</f>
        <v>0</v>
      </c>
    </row>
    <row r="133" spans="1:59" ht="14.25" x14ac:dyDescent="0.25">
      <c r="A133" s="277"/>
      <c r="B133" s="138"/>
      <c r="C133" s="323" t="s">
        <v>65</v>
      </c>
      <c r="D133" s="252" t="str">
        <f>D122</f>
        <v>ja</v>
      </c>
      <c r="E133" s="253" t="s">
        <v>76</v>
      </c>
      <c r="F133" s="281">
        <v>0.5</v>
      </c>
      <c r="G133" s="324">
        <v>25</v>
      </c>
      <c r="H133" s="325">
        <f t="shared" si="263"/>
        <v>26.445</v>
      </c>
      <c r="I133" s="257">
        <v>0.4</v>
      </c>
      <c r="J133" s="325">
        <f t="shared" si="264"/>
        <v>55.052</v>
      </c>
      <c r="K133" s="280">
        <v>0.8</v>
      </c>
      <c r="L133" s="325">
        <f t="shared" si="265"/>
        <v>110.104</v>
      </c>
      <c r="M133" s="257">
        <v>1</v>
      </c>
      <c r="N133" s="325">
        <f t="shared" si="266"/>
        <v>48.635000000000005</v>
      </c>
      <c r="O133" s="280">
        <v>2.5</v>
      </c>
      <c r="P133" s="325">
        <f t="shared" si="267"/>
        <v>121.58750000000001</v>
      </c>
      <c r="Q133" s="257">
        <v>1</v>
      </c>
      <c r="R133" s="325">
        <f t="shared" si="268"/>
        <v>46.491568025135855</v>
      </c>
      <c r="S133" s="280">
        <v>2</v>
      </c>
      <c r="T133" s="325">
        <f t="shared" si="269"/>
        <v>92.98313605027171</v>
      </c>
      <c r="U133" s="257"/>
      <c r="V133" s="325">
        <f t="shared" si="270"/>
        <v>0</v>
      </c>
      <c r="W133" s="280"/>
      <c r="X133" s="325">
        <f t="shared" si="271"/>
        <v>0</v>
      </c>
      <c r="Y133" s="257">
        <v>0.3</v>
      </c>
      <c r="Z133" s="325">
        <f t="shared" si="272"/>
        <v>15.846142857142857</v>
      </c>
      <c r="AA133" s="280">
        <v>1</v>
      </c>
      <c r="AB133" s="325">
        <f t="shared" si="273"/>
        <v>52.820476190476192</v>
      </c>
      <c r="AC133" s="257"/>
      <c r="AD133" s="325">
        <f t="shared" si="274"/>
        <v>0</v>
      </c>
      <c r="AE133" s="280">
        <v>0.5</v>
      </c>
      <c r="AF133" s="325">
        <f t="shared" si="275"/>
        <v>24.265530618263021</v>
      </c>
      <c r="AG133" s="257"/>
      <c r="AH133" s="325">
        <f t="shared" si="276"/>
        <v>0</v>
      </c>
      <c r="AI133" s="280"/>
      <c r="AJ133" s="325">
        <f t="shared" si="277"/>
        <v>0</v>
      </c>
      <c r="AK133" s="257"/>
      <c r="AL133" s="325">
        <f t="shared" si="278"/>
        <v>0</v>
      </c>
      <c r="AM133" s="280"/>
      <c r="AN133" s="325">
        <f t="shared" si="279"/>
        <v>0</v>
      </c>
      <c r="AO133" s="257"/>
      <c r="AP133" s="325">
        <f t="shared" si="280"/>
        <v>0</v>
      </c>
      <c r="AQ133" s="280"/>
      <c r="AR133" s="325">
        <f t="shared" si="281"/>
        <v>0</v>
      </c>
      <c r="AS133" s="259">
        <v>0</v>
      </c>
      <c r="AT133" s="260">
        <f>AS133*0.9</f>
        <v>0</v>
      </c>
      <c r="AU133" s="261">
        <f>AU131</f>
        <v>0</v>
      </c>
      <c r="AV133" s="325">
        <f t="shared" si="282"/>
        <v>0</v>
      </c>
      <c r="AW133" s="262">
        <v>0</v>
      </c>
      <c r="AX133" s="263">
        <f>AU133-AW133</f>
        <v>0</v>
      </c>
      <c r="AY133" s="325">
        <f>(AU133-AX133)*AT133</f>
        <v>0</v>
      </c>
      <c r="AZ133" s="325">
        <f t="shared" si="283"/>
        <v>166.02471088227873</v>
      </c>
      <c r="BA133" s="325">
        <f t="shared" si="284"/>
        <v>378.51601785901096</v>
      </c>
      <c r="BB133" s="222">
        <f t="shared" si="285"/>
        <v>212.49130697673223</v>
      </c>
      <c r="BC133" s="264">
        <v>0.3</v>
      </c>
      <c r="BD133" s="265">
        <f>0.66667*BC133*BE145</f>
        <v>4.00002E-2</v>
      </c>
      <c r="BG133" s="293"/>
    </row>
    <row r="134" spans="1:59" ht="14.25" x14ac:dyDescent="0.25">
      <c r="A134" s="277"/>
      <c r="B134" s="138"/>
      <c r="C134" s="173"/>
      <c r="D134" s="140" t="str">
        <f>D123</f>
        <v>nein</v>
      </c>
      <c r="E134" s="141" t="s">
        <v>76</v>
      </c>
      <c r="F134" s="142">
        <v>1</v>
      </c>
      <c r="G134" s="143">
        <v>25</v>
      </c>
      <c r="H134" s="153">
        <f t="shared" si="263"/>
        <v>38.945</v>
      </c>
      <c r="I134" s="145"/>
      <c r="J134" s="153">
        <f t="shared" si="264"/>
        <v>0</v>
      </c>
      <c r="K134" s="147"/>
      <c r="L134" s="153">
        <f t="shared" si="265"/>
        <v>0</v>
      </c>
      <c r="M134" s="145">
        <v>1</v>
      </c>
      <c r="N134" s="153">
        <f t="shared" si="266"/>
        <v>48.635000000000005</v>
      </c>
      <c r="O134" s="147">
        <v>2.5</v>
      </c>
      <c r="P134" s="153">
        <f t="shared" si="267"/>
        <v>121.58750000000001</v>
      </c>
      <c r="Q134" s="145">
        <v>1</v>
      </c>
      <c r="R134" s="153">
        <f t="shared" si="268"/>
        <v>46.491568025135855</v>
      </c>
      <c r="S134" s="147">
        <v>1.5</v>
      </c>
      <c r="T134" s="153">
        <f t="shared" si="269"/>
        <v>69.737352037703786</v>
      </c>
      <c r="U134" s="145"/>
      <c r="V134" s="153">
        <f t="shared" si="270"/>
        <v>0</v>
      </c>
      <c r="W134" s="147"/>
      <c r="X134" s="153">
        <f t="shared" si="271"/>
        <v>0</v>
      </c>
      <c r="Y134" s="145">
        <v>0.5</v>
      </c>
      <c r="Z134" s="153">
        <f t="shared" si="272"/>
        <v>26.410238095238096</v>
      </c>
      <c r="AA134" s="147">
        <v>1</v>
      </c>
      <c r="AB134" s="153">
        <f t="shared" si="273"/>
        <v>52.820476190476192</v>
      </c>
      <c r="AC134" s="145"/>
      <c r="AD134" s="153">
        <f t="shared" si="274"/>
        <v>0</v>
      </c>
      <c r="AE134" s="147">
        <v>1</v>
      </c>
      <c r="AF134" s="153">
        <f t="shared" si="275"/>
        <v>48.531061236526043</v>
      </c>
      <c r="AG134" s="145"/>
      <c r="AH134" s="153">
        <f t="shared" si="276"/>
        <v>0</v>
      </c>
      <c r="AI134" s="147"/>
      <c r="AJ134" s="153">
        <f t="shared" si="277"/>
        <v>0</v>
      </c>
      <c r="AK134" s="145"/>
      <c r="AL134" s="153">
        <f t="shared" si="278"/>
        <v>0</v>
      </c>
      <c r="AM134" s="147"/>
      <c r="AN134" s="153">
        <f t="shared" si="279"/>
        <v>0</v>
      </c>
      <c r="AO134" s="145"/>
      <c r="AP134" s="153">
        <f t="shared" si="280"/>
        <v>0</v>
      </c>
      <c r="AQ134" s="147"/>
      <c r="AR134" s="153">
        <f t="shared" si="281"/>
        <v>0</v>
      </c>
      <c r="AS134" s="148">
        <f>AS133</f>
        <v>0</v>
      </c>
      <c r="AT134" s="149">
        <f t="shared" ref="AT134" si="286">AS134*0.9</f>
        <v>0</v>
      </c>
      <c r="AU134" s="150">
        <f>AU133</f>
        <v>0</v>
      </c>
      <c r="AV134" s="153">
        <f t="shared" si="282"/>
        <v>0</v>
      </c>
      <c r="AW134" s="151">
        <f>AW133</f>
        <v>0</v>
      </c>
      <c r="AX134" s="152">
        <f>AU134-AW134</f>
        <v>0</v>
      </c>
      <c r="AY134" s="153">
        <f t="shared" ref="AY134" si="287">(AU134-AX134)*AT134</f>
        <v>0</v>
      </c>
      <c r="AZ134" s="153">
        <f t="shared" si="283"/>
        <v>121.53680612037397</v>
      </c>
      <c r="BA134" s="153">
        <f t="shared" si="284"/>
        <v>281.93176446470608</v>
      </c>
      <c r="BB134" s="153">
        <f t="shared" si="285"/>
        <v>160.39495834433211</v>
      </c>
      <c r="BC134" s="241">
        <v>0.7</v>
      </c>
      <c r="BD134" s="155">
        <f>0.66667*BC134*BE145</f>
        <v>9.3333799999999995E-2</v>
      </c>
    </row>
    <row r="135" spans="1:59" ht="14.25" x14ac:dyDescent="0.25">
      <c r="A135" s="277"/>
      <c r="B135" s="138"/>
      <c r="C135" s="156" t="s">
        <v>66</v>
      </c>
      <c r="D135" s="252" t="str">
        <f>D124</f>
        <v>ja</v>
      </c>
      <c r="E135" s="253" t="s">
        <v>76</v>
      </c>
      <c r="F135" s="281">
        <v>0.5</v>
      </c>
      <c r="G135" s="282">
        <v>25</v>
      </c>
      <c r="H135" s="256">
        <f t="shared" si="263"/>
        <v>26.445</v>
      </c>
      <c r="I135" s="257">
        <v>0.4</v>
      </c>
      <c r="J135" s="256">
        <f t="shared" si="264"/>
        <v>55.052</v>
      </c>
      <c r="K135" s="280">
        <v>0.8</v>
      </c>
      <c r="L135" s="256">
        <f t="shared" si="265"/>
        <v>110.104</v>
      </c>
      <c r="M135" s="257">
        <v>1</v>
      </c>
      <c r="N135" s="256">
        <f t="shared" si="266"/>
        <v>48.635000000000005</v>
      </c>
      <c r="O135" s="280">
        <v>2.5</v>
      </c>
      <c r="P135" s="256">
        <f t="shared" si="267"/>
        <v>121.58750000000001</v>
      </c>
      <c r="Q135" s="257">
        <v>1</v>
      </c>
      <c r="R135" s="256">
        <f t="shared" si="268"/>
        <v>46.491568025135855</v>
      </c>
      <c r="S135" s="280">
        <v>2</v>
      </c>
      <c r="T135" s="256">
        <f t="shared" si="269"/>
        <v>92.98313605027171</v>
      </c>
      <c r="U135" s="257"/>
      <c r="V135" s="256">
        <f t="shared" si="270"/>
        <v>0</v>
      </c>
      <c r="W135" s="280"/>
      <c r="X135" s="256">
        <f t="shared" si="271"/>
        <v>0</v>
      </c>
      <c r="Y135" s="257">
        <v>0.3</v>
      </c>
      <c r="Z135" s="256">
        <f t="shared" si="272"/>
        <v>15.846142857142857</v>
      </c>
      <c r="AA135" s="280">
        <v>1</v>
      </c>
      <c r="AB135" s="256">
        <f t="shared" si="273"/>
        <v>52.820476190476192</v>
      </c>
      <c r="AC135" s="257"/>
      <c r="AD135" s="256">
        <f t="shared" si="274"/>
        <v>0</v>
      </c>
      <c r="AE135" s="280">
        <v>0.5</v>
      </c>
      <c r="AF135" s="256">
        <f t="shared" si="275"/>
        <v>24.265530618263021</v>
      </c>
      <c r="AG135" s="257"/>
      <c r="AH135" s="256">
        <f t="shared" si="276"/>
        <v>0</v>
      </c>
      <c r="AI135" s="280"/>
      <c r="AJ135" s="256">
        <f t="shared" si="277"/>
        <v>0</v>
      </c>
      <c r="AK135" s="257"/>
      <c r="AL135" s="256">
        <f t="shared" si="278"/>
        <v>0</v>
      </c>
      <c r="AM135" s="280"/>
      <c r="AN135" s="256">
        <f t="shared" si="279"/>
        <v>0</v>
      </c>
      <c r="AO135" s="257"/>
      <c r="AP135" s="256">
        <f t="shared" si="280"/>
        <v>0</v>
      </c>
      <c r="AQ135" s="280"/>
      <c r="AR135" s="256">
        <f t="shared" si="281"/>
        <v>0</v>
      </c>
      <c r="AS135" s="259">
        <v>0</v>
      </c>
      <c r="AT135" s="260">
        <f>AS135*0.9</f>
        <v>0</v>
      </c>
      <c r="AU135" s="261">
        <f>AU133</f>
        <v>0</v>
      </c>
      <c r="AV135" s="256">
        <f t="shared" si="282"/>
        <v>0</v>
      </c>
      <c r="AW135" s="262">
        <v>0</v>
      </c>
      <c r="AX135" s="263">
        <v>0</v>
      </c>
      <c r="AY135" s="256">
        <f>(AU135-AX135)*AT135</f>
        <v>0</v>
      </c>
      <c r="AZ135" s="256">
        <f t="shared" si="283"/>
        <v>166.02471088227873</v>
      </c>
      <c r="BA135" s="256">
        <f t="shared" si="284"/>
        <v>378.51601785901096</v>
      </c>
      <c r="BB135" s="222">
        <f t="shared" si="285"/>
        <v>212.49130697673223</v>
      </c>
      <c r="BC135" s="264">
        <v>0.3</v>
      </c>
      <c r="BD135" s="265">
        <f>0.55*BC135*BE147</f>
        <v>0.11550000000000002</v>
      </c>
    </row>
    <row r="136" spans="1:59" ht="15" thickBot="1" x14ac:dyDescent="0.3">
      <c r="A136" s="277"/>
      <c r="B136" s="138"/>
      <c r="C136" s="174"/>
      <c r="D136" s="299" t="str">
        <f>D125</f>
        <v>nein</v>
      </c>
      <c r="E136" s="326" t="s">
        <v>76</v>
      </c>
      <c r="F136" s="301">
        <v>1</v>
      </c>
      <c r="G136" s="302">
        <v>25</v>
      </c>
      <c r="H136" s="327">
        <f t="shared" si="263"/>
        <v>38.945</v>
      </c>
      <c r="I136" s="303"/>
      <c r="J136" s="327">
        <f t="shared" si="264"/>
        <v>0</v>
      </c>
      <c r="K136" s="328"/>
      <c r="L136" s="327">
        <f t="shared" si="265"/>
        <v>0</v>
      </c>
      <c r="M136" s="303">
        <v>1</v>
      </c>
      <c r="N136" s="327">
        <f t="shared" si="266"/>
        <v>48.635000000000005</v>
      </c>
      <c r="O136" s="328">
        <v>2.5</v>
      </c>
      <c r="P136" s="327">
        <f t="shared" si="267"/>
        <v>121.58750000000001</v>
      </c>
      <c r="Q136" s="303">
        <v>1</v>
      </c>
      <c r="R136" s="327">
        <f t="shared" si="268"/>
        <v>46.491568025135855</v>
      </c>
      <c r="S136" s="328">
        <v>1.5</v>
      </c>
      <c r="T136" s="327">
        <f t="shared" si="269"/>
        <v>69.737352037703786</v>
      </c>
      <c r="U136" s="303"/>
      <c r="V136" s="327">
        <f t="shared" si="270"/>
        <v>0</v>
      </c>
      <c r="W136" s="328"/>
      <c r="X136" s="327">
        <f t="shared" si="271"/>
        <v>0</v>
      </c>
      <c r="Y136" s="303">
        <v>0.5</v>
      </c>
      <c r="Z136" s="327">
        <f t="shared" si="272"/>
        <v>26.410238095238096</v>
      </c>
      <c r="AA136" s="328">
        <v>1</v>
      </c>
      <c r="AB136" s="327">
        <f t="shared" si="273"/>
        <v>52.820476190476192</v>
      </c>
      <c r="AC136" s="303"/>
      <c r="AD136" s="327">
        <f t="shared" si="274"/>
        <v>0</v>
      </c>
      <c r="AE136" s="328">
        <v>1</v>
      </c>
      <c r="AF136" s="327">
        <f t="shared" si="275"/>
        <v>48.531061236526043</v>
      </c>
      <c r="AG136" s="303"/>
      <c r="AH136" s="327">
        <f t="shared" si="276"/>
        <v>0</v>
      </c>
      <c r="AI136" s="328"/>
      <c r="AJ136" s="327">
        <f t="shared" si="277"/>
        <v>0</v>
      </c>
      <c r="AK136" s="303"/>
      <c r="AL136" s="327">
        <f t="shared" si="278"/>
        <v>0</v>
      </c>
      <c r="AM136" s="328"/>
      <c r="AN136" s="327">
        <f t="shared" si="279"/>
        <v>0</v>
      </c>
      <c r="AO136" s="303"/>
      <c r="AP136" s="327">
        <f t="shared" si="280"/>
        <v>0</v>
      </c>
      <c r="AQ136" s="328"/>
      <c r="AR136" s="327">
        <f t="shared" si="281"/>
        <v>0</v>
      </c>
      <c r="AS136" s="305">
        <f>AS135</f>
        <v>0</v>
      </c>
      <c r="AT136" s="306">
        <f t="shared" ref="AT136" si="288">AS136*0.9</f>
        <v>0</v>
      </c>
      <c r="AU136" s="307">
        <f>AU135</f>
        <v>0</v>
      </c>
      <c r="AV136" s="327">
        <f t="shared" si="282"/>
        <v>0</v>
      </c>
      <c r="AW136" s="308">
        <f>AW135</f>
        <v>0</v>
      </c>
      <c r="AX136" s="329">
        <v>0</v>
      </c>
      <c r="AY136" s="327">
        <f t="shared" ref="AY136" si="289">(AU136-AX136)*AT136</f>
        <v>0</v>
      </c>
      <c r="AZ136" s="327">
        <f t="shared" si="283"/>
        <v>121.53680612037397</v>
      </c>
      <c r="BA136" s="327">
        <f t="shared" si="284"/>
        <v>281.93176446470608</v>
      </c>
      <c r="BB136" s="330">
        <f t="shared" si="285"/>
        <v>160.39495834433211</v>
      </c>
      <c r="BC136" s="310">
        <v>0.7</v>
      </c>
      <c r="BD136" s="331">
        <f>0.55*BC136*BE147</f>
        <v>0.26950000000000002</v>
      </c>
    </row>
    <row r="137" spans="1:59" ht="14.25" x14ac:dyDescent="0.25">
      <c r="A137" s="277"/>
      <c r="B137" s="138"/>
      <c r="C137" s="267" t="s">
        <v>69</v>
      </c>
      <c r="D137" s="121" t="s">
        <v>62</v>
      </c>
      <c r="E137" s="194"/>
      <c r="F137" s="195"/>
      <c r="G137" s="196"/>
      <c r="H137" s="197"/>
      <c r="I137" s="198"/>
      <c r="J137" s="197"/>
      <c r="K137" s="199"/>
      <c r="L137" s="197"/>
      <c r="M137" s="198"/>
      <c r="N137" s="197"/>
      <c r="O137" s="199"/>
      <c r="P137" s="197"/>
      <c r="Q137" s="198"/>
      <c r="R137" s="197"/>
      <c r="S137" s="199"/>
      <c r="T137" s="197"/>
      <c r="U137" s="198"/>
      <c r="V137" s="197"/>
      <c r="W137" s="199"/>
      <c r="X137" s="197"/>
      <c r="Y137" s="198"/>
      <c r="Z137" s="197"/>
      <c r="AA137" s="199"/>
      <c r="AB137" s="197"/>
      <c r="AC137" s="198"/>
      <c r="AD137" s="197"/>
      <c r="AE137" s="199"/>
      <c r="AF137" s="197"/>
      <c r="AG137" s="198"/>
      <c r="AH137" s="197"/>
      <c r="AI137" s="199"/>
      <c r="AJ137" s="197"/>
      <c r="AK137" s="198"/>
      <c r="AL137" s="197"/>
      <c r="AM137" s="199"/>
      <c r="AN137" s="197"/>
      <c r="AO137" s="198"/>
      <c r="AP137" s="197"/>
      <c r="AQ137" s="199"/>
      <c r="AR137" s="197"/>
      <c r="AS137" s="200"/>
      <c r="AT137" s="200"/>
      <c r="AU137" s="201"/>
      <c r="AV137" s="197"/>
      <c r="AW137" s="201"/>
      <c r="AX137" s="201"/>
      <c r="AY137" s="197"/>
      <c r="AZ137" s="197"/>
      <c r="BA137" s="197"/>
      <c r="BB137" s="220">
        <f>(BB129*BD129+BB131*BD131+BB133*BD133+BB135*BD135)/(BD129+BD131+BD133+BD135)</f>
        <v>204.12379514483689</v>
      </c>
      <c r="BC137" s="203"/>
      <c r="BD137" s="136">
        <f>BD129+BD131+BD133+BD135</f>
        <v>0.17550020000000002</v>
      </c>
    </row>
    <row r="138" spans="1:59" ht="15" thickBot="1" x14ac:dyDescent="0.3">
      <c r="A138" s="277"/>
      <c r="B138" s="138"/>
      <c r="C138" s="266"/>
      <c r="D138" s="178" t="s">
        <v>64</v>
      </c>
      <c r="E138" s="204"/>
      <c r="F138" s="205"/>
      <c r="G138" s="206"/>
      <c r="H138" s="115"/>
      <c r="I138" s="207"/>
      <c r="J138" s="115"/>
      <c r="K138" s="208"/>
      <c r="L138" s="115"/>
      <c r="M138" s="207"/>
      <c r="N138" s="115"/>
      <c r="O138" s="208"/>
      <c r="P138" s="115"/>
      <c r="Q138" s="207"/>
      <c r="R138" s="115"/>
      <c r="S138" s="208"/>
      <c r="T138" s="115"/>
      <c r="U138" s="207"/>
      <c r="V138" s="115"/>
      <c r="W138" s="208"/>
      <c r="X138" s="115"/>
      <c r="Y138" s="207"/>
      <c r="Z138" s="115"/>
      <c r="AA138" s="208"/>
      <c r="AB138" s="115"/>
      <c r="AC138" s="207"/>
      <c r="AD138" s="115"/>
      <c r="AE138" s="208"/>
      <c r="AF138" s="115"/>
      <c r="AG138" s="207"/>
      <c r="AH138" s="115"/>
      <c r="AI138" s="208"/>
      <c r="AJ138" s="115"/>
      <c r="AK138" s="207"/>
      <c r="AL138" s="115"/>
      <c r="AM138" s="208"/>
      <c r="AN138" s="115"/>
      <c r="AO138" s="207"/>
      <c r="AP138" s="115"/>
      <c r="AQ138" s="208"/>
      <c r="AR138" s="115"/>
      <c r="AS138" s="209"/>
      <c r="AT138" s="209"/>
      <c r="AU138" s="210"/>
      <c r="AV138" s="115"/>
      <c r="AW138" s="210"/>
      <c r="AX138" s="210"/>
      <c r="AY138" s="115"/>
      <c r="AZ138" s="115"/>
      <c r="BA138" s="115"/>
      <c r="BB138" s="225">
        <f>(BB130*BD130+BB132*BD132+BB134*BD134+BB136*BD136)/(BD130+BD132+BD134+BD136)</f>
        <v>157.08999937780408</v>
      </c>
      <c r="BC138" s="211"/>
      <c r="BD138" s="192">
        <f>BD130+BD132+BD134+BD136</f>
        <v>0.3828338</v>
      </c>
    </row>
    <row r="139" spans="1:59" ht="15.75" thickBot="1" x14ac:dyDescent="0.3">
      <c r="A139" s="277"/>
      <c r="B139" s="212"/>
      <c r="C139" s="269"/>
      <c r="D139" s="214" t="s">
        <v>70</v>
      </c>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28">
        <f>(BB137*BD137+BB138*BD138)/(BD137+BD138)</f>
        <v>171.87405437691467</v>
      </c>
      <c r="BC139" s="217"/>
      <c r="BD139" s="218">
        <f>BD137+BD138</f>
        <v>0.558334</v>
      </c>
    </row>
    <row r="140" spans="1:59" ht="14.25" x14ac:dyDescent="0.25">
      <c r="A140" s="277"/>
      <c r="B140" s="69" t="s">
        <v>64</v>
      </c>
      <c r="C140" s="120" t="s">
        <v>61</v>
      </c>
      <c r="D140" s="121" t="str">
        <f t="shared" ref="D140:D147" si="290">D129</f>
        <v>ja</v>
      </c>
      <c r="E140" s="122"/>
      <c r="F140" s="123">
        <v>0</v>
      </c>
      <c r="G140" s="124">
        <v>0</v>
      </c>
      <c r="H140" s="134">
        <f t="shared" ref="H140:H147" si="291">IF(F140=0,0,F140*G140+$G$8+$G$9)</f>
        <v>0</v>
      </c>
      <c r="I140" s="126">
        <v>0.1</v>
      </c>
      <c r="J140" s="134">
        <f t="shared" ref="J140:J147" si="292">I140*(I$13*$B$9+K$13)</f>
        <v>13.763</v>
      </c>
      <c r="K140" s="128">
        <v>0.1</v>
      </c>
      <c r="L140" s="134">
        <f t="shared" ref="L140:L147" si="293">K140*(I$13*$B$9+K$13)</f>
        <v>13.763</v>
      </c>
      <c r="M140" s="126">
        <v>0.9</v>
      </c>
      <c r="N140" s="134">
        <f t="shared" ref="N140:N147" si="294">M140*(M$13*$B$9+O$13)</f>
        <v>43.771500000000003</v>
      </c>
      <c r="O140" s="128">
        <v>1.5</v>
      </c>
      <c r="P140" s="134">
        <f t="shared" ref="P140:P147" si="295">O140*(M$13*$B$9+O$13)</f>
        <v>72.952500000000015</v>
      </c>
      <c r="Q140" s="126">
        <v>0.5</v>
      </c>
      <c r="R140" s="134">
        <f t="shared" ref="R140:R147" si="296">Q140*(Q$13*$B$9+S$13)</f>
        <v>23.245784012567928</v>
      </c>
      <c r="S140" s="128">
        <v>1</v>
      </c>
      <c r="T140" s="134">
        <f t="shared" ref="T140:T147" si="297">S140*(Q$13*$B$9+S$13)</f>
        <v>46.491568025135855</v>
      </c>
      <c r="U140" s="126"/>
      <c r="V140" s="134">
        <f t="shared" ref="V140:V147" si="298">U140*(U$13*$B$9+W$13)</f>
        <v>0</v>
      </c>
      <c r="W140" s="128"/>
      <c r="X140" s="134">
        <f t="shared" ref="X140:X147" si="299">W140*(U$13*$B$9+W$13)</f>
        <v>0</v>
      </c>
      <c r="Y140" s="126"/>
      <c r="Z140" s="134">
        <f t="shared" ref="Z140:Z147" si="300">Y140*(Y$13*$B$9+AA$13)</f>
        <v>0</v>
      </c>
      <c r="AA140" s="128"/>
      <c r="AB140" s="134">
        <f t="shared" ref="AB140:AB147" si="301">AA140*(Y$13*$B$9+AA$13)</f>
        <v>0</v>
      </c>
      <c r="AC140" s="126"/>
      <c r="AD140" s="134">
        <f t="shared" ref="AD140:AD147" si="302">AC140*(AC$13*$B$9+AE$13)</f>
        <v>0</v>
      </c>
      <c r="AE140" s="128"/>
      <c r="AF140" s="134">
        <f t="shared" ref="AF140:AF147" si="303">AE140*(AC$13*$B$9+AE$13)</f>
        <v>0</v>
      </c>
      <c r="AG140" s="126"/>
      <c r="AH140" s="134">
        <f t="shared" ref="AH140:AH147" si="304">AG140*(AG$13*$B$9+AI$13)</f>
        <v>0</v>
      </c>
      <c r="AI140" s="128"/>
      <c r="AJ140" s="134">
        <f t="shared" ref="AJ140:AJ147" si="305">AI140*(AG$13*$B$9+AI$13)</f>
        <v>0</v>
      </c>
      <c r="AK140" s="126"/>
      <c r="AL140" s="134">
        <f t="shared" ref="AL140:AL147" si="306">AK140*(AK$13*$B$9+AM$13)</f>
        <v>0</v>
      </c>
      <c r="AM140" s="128"/>
      <c r="AN140" s="134">
        <f t="shared" ref="AN140:AN147" si="307">AM140*(AK$13*$B$9+AM$13)</f>
        <v>0</v>
      </c>
      <c r="AO140" s="126"/>
      <c r="AP140" s="134">
        <f t="shared" ref="AP140:AP147" si="308">AO140*(AO$13*$B$9+AQ$13)</f>
        <v>0</v>
      </c>
      <c r="AQ140" s="128"/>
      <c r="AR140" s="134">
        <f t="shared" ref="AR140:AR147" si="309">AQ140*(AO$13*$B$9+AQ$13)</f>
        <v>0</v>
      </c>
      <c r="AS140" s="129">
        <f>AS130</f>
        <v>0</v>
      </c>
      <c r="AT140" s="130">
        <f>AS140*0.9</f>
        <v>0</v>
      </c>
      <c r="AU140" s="131">
        <f>AU129</f>
        <v>0</v>
      </c>
      <c r="AV140" s="134">
        <f t="shared" ref="AV140:AV147" si="310">AU140*(AS140-AT140)</f>
        <v>0</v>
      </c>
      <c r="AW140" s="132">
        <v>0</v>
      </c>
      <c r="AX140" s="133">
        <f t="shared" ref="AX140:AX141" si="311">AU140</f>
        <v>0</v>
      </c>
      <c r="AY140" s="134">
        <f>(AU140-AX140)*AT140</f>
        <v>0</v>
      </c>
      <c r="AZ140" s="134">
        <f t="shared" ref="AZ140:AZ147" si="312">IF(SUM(AN140+AC140+Y140+U140+Q140+M140+I140)=0,0,J140+N140+R140+V140+Z140+AD140+AG140+AK140+AO140+AW140)</f>
        <v>80.780284012567932</v>
      </c>
      <c r="BA140" s="134">
        <f t="shared" ref="BA140:BA147" si="313">IF(SUM(AQ140+AE140+AA140+W140+S140+O140+K140)=0,0,H140+L140+P140+T140+X140+AB140+AF140+AJ140+AN140+AR140+AV140+AY140-$G$11)</f>
        <v>83.517443025135861</v>
      </c>
      <c r="BB140" s="220">
        <f t="shared" ref="BB140:BB147" si="314">IF(BA140-AZ140&gt;0,BA140-AZ140,0)</f>
        <v>2.737159012567929</v>
      </c>
      <c r="BC140" s="238">
        <v>0.5</v>
      </c>
      <c r="BD140" s="136">
        <f>0.6*BC140*BE141</f>
        <v>0.03</v>
      </c>
    </row>
    <row r="141" spans="1:59" ht="14.25" x14ac:dyDescent="0.25">
      <c r="A141" s="277"/>
      <c r="B141" s="138"/>
      <c r="C141" s="139"/>
      <c r="D141" s="140" t="str">
        <f t="shared" si="290"/>
        <v>nein</v>
      </c>
      <c r="E141" s="141"/>
      <c r="F141" s="142">
        <v>0</v>
      </c>
      <c r="G141" s="143">
        <v>0</v>
      </c>
      <c r="H141" s="153">
        <f t="shared" si="291"/>
        <v>0</v>
      </c>
      <c r="I141" s="145"/>
      <c r="J141" s="153">
        <f t="shared" si="292"/>
        <v>0</v>
      </c>
      <c r="K141" s="147"/>
      <c r="L141" s="153">
        <f t="shared" si="293"/>
        <v>0</v>
      </c>
      <c r="M141" s="145">
        <v>1</v>
      </c>
      <c r="N141" s="153">
        <f t="shared" si="294"/>
        <v>48.635000000000005</v>
      </c>
      <c r="O141" s="147">
        <v>1.5</v>
      </c>
      <c r="P141" s="153">
        <f t="shared" si="295"/>
        <v>72.952500000000015</v>
      </c>
      <c r="Q141" s="145">
        <v>1</v>
      </c>
      <c r="R141" s="153">
        <f t="shared" si="296"/>
        <v>46.491568025135855</v>
      </c>
      <c r="S141" s="147">
        <v>1.5</v>
      </c>
      <c r="T141" s="153">
        <f t="shared" si="297"/>
        <v>69.737352037703786</v>
      </c>
      <c r="U141" s="145"/>
      <c r="V141" s="153">
        <f t="shared" si="298"/>
        <v>0</v>
      </c>
      <c r="W141" s="147"/>
      <c r="X141" s="153">
        <f t="shared" si="299"/>
        <v>0</v>
      </c>
      <c r="Y141" s="145"/>
      <c r="Z141" s="153">
        <f t="shared" si="300"/>
        <v>0</v>
      </c>
      <c r="AA141" s="147"/>
      <c r="AB141" s="153">
        <f t="shared" si="301"/>
        <v>0</v>
      </c>
      <c r="AC141" s="145"/>
      <c r="AD141" s="153">
        <f t="shared" si="302"/>
        <v>0</v>
      </c>
      <c r="AE141" s="147">
        <v>0.5</v>
      </c>
      <c r="AF141" s="153">
        <f t="shared" si="303"/>
        <v>24.265530618263021</v>
      </c>
      <c r="AG141" s="145"/>
      <c r="AH141" s="153">
        <f t="shared" si="304"/>
        <v>0</v>
      </c>
      <c r="AI141" s="147"/>
      <c r="AJ141" s="153">
        <f t="shared" si="305"/>
        <v>0</v>
      </c>
      <c r="AK141" s="145"/>
      <c r="AL141" s="153">
        <f t="shared" si="306"/>
        <v>0</v>
      </c>
      <c r="AM141" s="147"/>
      <c r="AN141" s="153">
        <f t="shared" si="307"/>
        <v>0</v>
      </c>
      <c r="AO141" s="145"/>
      <c r="AP141" s="153">
        <f t="shared" si="308"/>
        <v>0</v>
      </c>
      <c r="AQ141" s="147"/>
      <c r="AR141" s="153">
        <f t="shared" si="309"/>
        <v>0</v>
      </c>
      <c r="AS141" s="148">
        <f>AS140</f>
        <v>0</v>
      </c>
      <c r="AT141" s="149">
        <f>AS141*0.9</f>
        <v>0</v>
      </c>
      <c r="AU141" s="150">
        <f>AU140</f>
        <v>0</v>
      </c>
      <c r="AV141" s="153">
        <f t="shared" si="310"/>
        <v>0</v>
      </c>
      <c r="AW141" s="151">
        <v>0</v>
      </c>
      <c r="AX141" s="152">
        <f t="shared" si="311"/>
        <v>0</v>
      </c>
      <c r="AY141" s="153">
        <f>(AU141-AX141)*AT141</f>
        <v>0</v>
      </c>
      <c r="AZ141" s="153">
        <f t="shared" si="312"/>
        <v>95.126568025135867</v>
      </c>
      <c r="BA141" s="153">
        <f t="shared" si="313"/>
        <v>117.26575765596684</v>
      </c>
      <c r="BB141" s="153">
        <f t="shared" si="314"/>
        <v>22.13918963083097</v>
      </c>
      <c r="BC141" s="241">
        <v>0.5</v>
      </c>
      <c r="BD141" s="155">
        <f>BE141-BD140-BD130-BD129</f>
        <v>0.03</v>
      </c>
      <c r="BE141" s="285">
        <v>0.1</v>
      </c>
    </row>
    <row r="142" spans="1:59" ht="14.25" x14ac:dyDescent="0.25">
      <c r="A142" s="277"/>
      <c r="B142" s="138"/>
      <c r="C142" s="242" t="s">
        <v>63</v>
      </c>
      <c r="D142" s="252" t="str">
        <f t="shared" si="290"/>
        <v>ja</v>
      </c>
      <c r="E142" s="253"/>
      <c r="F142" s="254">
        <v>0</v>
      </c>
      <c r="G142" s="255">
        <v>0</v>
      </c>
      <c r="H142" s="256">
        <f t="shared" si="291"/>
        <v>0</v>
      </c>
      <c r="I142" s="257">
        <v>0.7</v>
      </c>
      <c r="J142" s="256">
        <f t="shared" si="292"/>
        <v>96.340999999999994</v>
      </c>
      <c r="K142" s="280">
        <v>1</v>
      </c>
      <c r="L142" s="256">
        <f t="shared" si="293"/>
        <v>137.63</v>
      </c>
      <c r="M142" s="257">
        <v>0.5</v>
      </c>
      <c r="N142" s="256">
        <f t="shared" si="294"/>
        <v>24.317500000000003</v>
      </c>
      <c r="O142" s="280">
        <v>1</v>
      </c>
      <c r="P142" s="256">
        <f t="shared" si="295"/>
        <v>48.635000000000005</v>
      </c>
      <c r="Q142" s="257">
        <v>1</v>
      </c>
      <c r="R142" s="256">
        <f t="shared" si="296"/>
        <v>46.491568025135855</v>
      </c>
      <c r="S142" s="280">
        <v>1</v>
      </c>
      <c r="T142" s="256">
        <f t="shared" si="297"/>
        <v>46.491568025135855</v>
      </c>
      <c r="U142" s="257"/>
      <c r="V142" s="256">
        <f t="shared" si="298"/>
        <v>0</v>
      </c>
      <c r="W142" s="280"/>
      <c r="X142" s="256">
        <f t="shared" si="299"/>
        <v>0</v>
      </c>
      <c r="Y142" s="257">
        <v>1</v>
      </c>
      <c r="Z142" s="256">
        <f t="shared" si="300"/>
        <v>52.820476190476192</v>
      </c>
      <c r="AA142" s="280">
        <v>1</v>
      </c>
      <c r="AB142" s="256">
        <f t="shared" si="301"/>
        <v>52.820476190476192</v>
      </c>
      <c r="AC142" s="257"/>
      <c r="AD142" s="256">
        <f t="shared" si="302"/>
        <v>0</v>
      </c>
      <c r="AE142" s="280">
        <v>0.5</v>
      </c>
      <c r="AF142" s="256">
        <f t="shared" si="303"/>
        <v>24.265530618263021</v>
      </c>
      <c r="AG142" s="257"/>
      <c r="AH142" s="256">
        <f t="shared" si="304"/>
        <v>0</v>
      </c>
      <c r="AI142" s="280"/>
      <c r="AJ142" s="256">
        <f t="shared" si="305"/>
        <v>0</v>
      </c>
      <c r="AK142" s="257"/>
      <c r="AL142" s="256">
        <f t="shared" si="306"/>
        <v>0</v>
      </c>
      <c r="AM142" s="280"/>
      <c r="AN142" s="256">
        <f t="shared" si="307"/>
        <v>0</v>
      </c>
      <c r="AO142" s="257"/>
      <c r="AP142" s="256">
        <f t="shared" si="308"/>
        <v>0</v>
      </c>
      <c r="AQ142" s="280"/>
      <c r="AR142" s="256">
        <f t="shared" si="309"/>
        <v>0</v>
      </c>
      <c r="AS142" s="260">
        <f>AS140</f>
        <v>0</v>
      </c>
      <c r="AT142" s="260">
        <f>AS142*0.9</f>
        <v>0</v>
      </c>
      <c r="AU142" s="261">
        <f>AU140</f>
        <v>0</v>
      </c>
      <c r="AV142" s="256">
        <f t="shared" si="310"/>
        <v>0</v>
      </c>
      <c r="AW142" s="262">
        <v>2</v>
      </c>
      <c r="AX142" s="263">
        <f>AU$129+AU142-AX$129</f>
        <v>0</v>
      </c>
      <c r="AY142" s="256">
        <f>(AU142-AX142)*AT142</f>
        <v>0</v>
      </c>
      <c r="AZ142" s="256">
        <f t="shared" si="312"/>
        <v>221.97054421561205</v>
      </c>
      <c r="BA142" s="256">
        <f t="shared" si="313"/>
        <v>260.15294983387508</v>
      </c>
      <c r="BB142" s="222">
        <f t="shared" si="314"/>
        <v>38.182405618263033</v>
      </c>
      <c r="BC142" s="264">
        <v>0.5</v>
      </c>
      <c r="BD142" s="265">
        <f>0.6*BC142*BE143</f>
        <v>0</v>
      </c>
    </row>
    <row r="143" spans="1:59" ht="14.25" x14ac:dyDescent="0.25">
      <c r="A143" s="277"/>
      <c r="B143" s="138"/>
      <c r="C143" s="139"/>
      <c r="D143" s="140" t="str">
        <f t="shared" si="290"/>
        <v>nein</v>
      </c>
      <c r="E143" s="141"/>
      <c r="F143" s="142">
        <v>0</v>
      </c>
      <c r="G143" s="143">
        <v>0</v>
      </c>
      <c r="H143" s="144">
        <f t="shared" si="291"/>
        <v>0</v>
      </c>
      <c r="I143" s="145"/>
      <c r="J143" s="144">
        <f t="shared" si="292"/>
        <v>0</v>
      </c>
      <c r="K143" s="147"/>
      <c r="L143" s="144">
        <f t="shared" si="293"/>
        <v>0</v>
      </c>
      <c r="M143" s="145">
        <v>1</v>
      </c>
      <c r="N143" s="144">
        <f t="shared" si="294"/>
        <v>48.635000000000005</v>
      </c>
      <c r="O143" s="147">
        <v>1.5</v>
      </c>
      <c r="P143" s="144">
        <f t="shared" si="295"/>
        <v>72.952500000000015</v>
      </c>
      <c r="Q143" s="145">
        <v>1</v>
      </c>
      <c r="R143" s="144">
        <f t="shared" si="296"/>
        <v>46.491568025135855</v>
      </c>
      <c r="S143" s="147">
        <v>1</v>
      </c>
      <c r="T143" s="144">
        <f t="shared" si="297"/>
        <v>46.491568025135855</v>
      </c>
      <c r="U143" s="145"/>
      <c r="V143" s="144">
        <f t="shared" si="298"/>
        <v>0</v>
      </c>
      <c r="W143" s="147"/>
      <c r="X143" s="144">
        <f t="shared" si="299"/>
        <v>0</v>
      </c>
      <c r="Y143" s="145">
        <v>1</v>
      </c>
      <c r="Z143" s="144">
        <f t="shared" si="300"/>
        <v>52.820476190476192</v>
      </c>
      <c r="AA143" s="147">
        <v>1</v>
      </c>
      <c r="AB143" s="144">
        <f t="shared" si="301"/>
        <v>52.820476190476192</v>
      </c>
      <c r="AC143" s="145"/>
      <c r="AD143" s="144">
        <f t="shared" si="302"/>
        <v>0</v>
      </c>
      <c r="AE143" s="147">
        <v>1</v>
      </c>
      <c r="AF143" s="144">
        <f t="shared" si="303"/>
        <v>48.531061236526043</v>
      </c>
      <c r="AG143" s="145"/>
      <c r="AH143" s="144">
        <f t="shared" si="304"/>
        <v>0</v>
      </c>
      <c r="AI143" s="147"/>
      <c r="AJ143" s="144">
        <f t="shared" si="305"/>
        <v>0</v>
      </c>
      <c r="AK143" s="145"/>
      <c r="AL143" s="144">
        <f t="shared" si="306"/>
        <v>0</v>
      </c>
      <c r="AM143" s="147"/>
      <c r="AN143" s="144">
        <f t="shared" si="307"/>
        <v>0</v>
      </c>
      <c r="AO143" s="145"/>
      <c r="AP143" s="144">
        <f t="shared" si="308"/>
        <v>0</v>
      </c>
      <c r="AQ143" s="147"/>
      <c r="AR143" s="144">
        <f t="shared" si="309"/>
        <v>0</v>
      </c>
      <c r="AS143" s="148">
        <f>AS141</f>
        <v>0</v>
      </c>
      <c r="AT143" s="149">
        <f>AS143*0.9</f>
        <v>0</v>
      </c>
      <c r="AU143" s="150">
        <f>AU141</f>
        <v>0</v>
      </c>
      <c r="AV143" s="144">
        <f t="shared" si="310"/>
        <v>0</v>
      </c>
      <c r="AW143" s="151">
        <v>3</v>
      </c>
      <c r="AX143" s="152">
        <f>AU$129+AU143-AX$129</f>
        <v>0</v>
      </c>
      <c r="AY143" s="144">
        <f>(AU143-AX143)*AT143</f>
        <v>0</v>
      </c>
      <c r="AZ143" s="144">
        <f t="shared" si="312"/>
        <v>150.94704421561207</v>
      </c>
      <c r="BA143" s="144">
        <f t="shared" si="313"/>
        <v>171.10598045213808</v>
      </c>
      <c r="BB143" s="153">
        <f t="shared" si="314"/>
        <v>20.158936236526017</v>
      </c>
      <c r="BC143" s="241">
        <v>0.5</v>
      </c>
      <c r="BD143" s="155">
        <f>BE143-BD142-BD132-BD131</f>
        <v>0</v>
      </c>
      <c r="BE143" s="285">
        <v>0</v>
      </c>
    </row>
    <row r="144" spans="1:59" ht="14.25" x14ac:dyDescent="0.25">
      <c r="A144" s="277"/>
      <c r="B144" s="138"/>
      <c r="C144" s="323" t="s">
        <v>65</v>
      </c>
      <c r="D144" s="252" t="str">
        <f t="shared" si="290"/>
        <v>ja</v>
      </c>
      <c r="E144" s="253" t="s">
        <v>76</v>
      </c>
      <c r="F144" s="281">
        <v>0.5</v>
      </c>
      <c r="G144" s="324">
        <v>25</v>
      </c>
      <c r="H144" s="325">
        <f t="shared" si="291"/>
        <v>26.445</v>
      </c>
      <c r="I144" s="257">
        <v>0.3</v>
      </c>
      <c r="J144" s="325">
        <f t="shared" si="292"/>
        <v>41.288999999999994</v>
      </c>
      <c r="K144" s="280">
        <v>0.8</v>
      </c>
      <c r="L144" s="325">
        <f t="shared" si="293"/>
        <v>110.104</v>
      </c>
      <c r="M144" s="257">
        <v>0.7</v>
      </c>
      <c r="N144" s="325">
        <f t="shared" si="294"/>
        <v>34.044499999999999</v>
      </c>
      <c r="O144" s="280">
        <v>1.5</v>
      </c>
      <c r="P144" s="325">
        <f t="shared" si="295"/>
        <v>72.952500000000015</v>
      </c>
      <c r="Q144" s="257">
        <v>1</v>
      </c>
      <c r="R144" s="325">
        <f t="shared" si="296"/>
        <v>46.491568025135855</v>
      </c>
      <c r="S144" s="280">
        <v>1.5</v>
      </c>
      <c r="T144" s="325">
        <f t="shared" si="297"/>
        <v>69.737352037703786</v>
      </c>
      <c r="U144" s="257"/>
      <c r="V144" s="325">
        <f t="shared" si="298"/>
        <v>0</v>
      </c>
      <c r="W144" s="280"/>
      <c r="X144" s="325">
        <f t="shared" si="299"/>
        <v>0</v>
      </c>
      <c r="Y144" s="257"/>
      <c r="Z144" s="325">
        <f t="shared" si="300"/>
        <v>0</v>
      </c>
      <c r="AA144" s="280"/>
      <c r="AB144" s="325">
        <f t="shared" si="301"/>
        <v>0</v>
      </c>
      <c r="AC144" s="257"/>
      <c r="AD144" s="325">
        <f t="shared" si="302"/>
        <v>0</v>
      </c>
      <c r="AE144" s="280">
        <v>0.5</v>
      </c>
      <c r="AF144" s="325">
        <f t="shared" si="303"/>
        <v>24.265530618263021</v>
      </c>
      <c r="AG144" s="257"/>
      <c r="AH144" s="325">
        <f t="shared" si="304"/>
        <v>0</v>
      </c>
      <c r="AI144" s="280"/>
      <c r="AJ144" s="325">
        <f t="shared" si="305"/>
        <v>0</v>
      </c>
      <c r="AK144" s="257"/>
      <c r="AL144" s="325">
        <f t="shared" si="306"/>
        <v>0</v>
      </c>
      <c r="AM144" s="280"/>
      <c r="AN144" s="325">
        <f t="shared" si="307"/>
        <v>0</v>
      </c>
      <c r="AO144" s="257"/>
      <c r="AP144" s="325">
        <f t="shared" si="308"/>
        <v>0</v>
      </c>
      <c r="AQ144" s="280"/>
      <c r="AR144" s="325">
        <f t="shared" si="309"/>
        <v>0</v>
      </c>
      <c r="AS144" s="259">
        <v>0</v>
      </c>
      <c r="AT144" s="260">
        <f>AS144*0.9</f>
        <v>0</v>
      </c>
      <c r="AU144" s="261">
        <f>AU133</f>
        <v>0</v>
      </c>
      <c r="AV144" s="325">
        <f t="shared" si="310"/>
        <v>0</v>
      </c>
      <c r="AW144" s="262">
        <v>0</v>
      </c>
      <c r="AX144" s="263">
        <f>AU144-AW144</f>
        <v>0</v>
      </c>
      <c r="AY144" s="325">
        <f>(AU144-AX144)*AT144</f>
        <v>0</v>
      </c>
      <c r="AZ144" s="325">
        <f t="shared" si="312"/>
        <v>121.82506802513583</v>
      </c>
      <c r="BA144" s="325">
        <f t="shared" si="313"/>
        <v>253.81475765596682</v>
      </c>
      <c r="BB144" s="222">
        <f t="shared" si="314"/>
        <v>131.98968963083098</v>
      </c>
      <c r="BC144" s="264">
        <v>0.2</v>
      </c>
      <c r="BD144" s="265">
        <f>0.33333*BC144*BE145</f>
        <v>1.3333200000000002E-2</v>
      </c>
    </row>
    <row r="145" spans="1:57" ht="14.25" x14ac:dyDescent="0.25">
      <c r="A145" s="277"/>
      <c r="B145" s="138"/>
      <c r="C145" s="173"/>
      <c r="D145" s="140" t="str">
        <f t="shared" si="290"/>
        <v>nein</v>
      </c>
      <c r="E145" s="141" t="s">
        <v>76</v>
      </c>
      <c r="F145" s="142">
        <v>1</v>
      </c>
      <c r="G145" s="143">
        <v>25</v>
      </c>
      <c r="H145" s="153">
        <f t="shared" si="291"/>
        <v>38.945</v>
      </c>
      <c r="I145" s="145"/>
      <c r="J145" s="153">
        <f t="shared" si="292"/>
        <v>0</v>
      </c>
      <c r="K145" s="147"/>
      <c r="L145" s="153">
        <f t="shared" si="293"/>
        <v>0</v>
      </c>
      <c r="M145" s="145">
        <v>1</v>
      </c>
      <c r="N145" s="153">
        <f t="shared" si="294"/>
        <v>48.635000000000005</v>
      </c>
      <c r="O145" s="147">
        <v>2</v>
      </c>
      <c r="P145" s="153">
        <f t="shared" si="295"/>
        <v>97.27000000000001</v>
      </c>
      <c r="Q145" s="145">
        <v>1</v>
      </c>
      <c r="R145" s="153">
        <f t="shared" si="296"/>
        <v>46.491568025135855</v>
      </c>
      <c r="S145" s="147">
        <v>1.5</v>
      </c>
      <c r="T145" s="153">
        <f t="shared" si="297"/>
        <v>69.737352037703786</v>
      </c>
      <c r="U145" s="145"/>
      <c r="V145" s="153">
        <f t="shared" si="298"/>
        <v>0</v>
      </c>
      <c r="W145" s="147"/>
      <c r="X145" s="153">
        <f t="shared" si="299"/>
        <v>0</v>
      </c>
      <c r="Y145" s="145"/>
      <c r="Z145" s="153">
        <f t="shared" si="300"/>
        <v>0</v>
      </c>
      <c r="AA145" s="147"/>
      <c r="AB145" s="153">
        <f t="shared" si="301"/>
        <v>0</v>
      </c>
      <c r="AC145" s="145"/>
      <c r="AD145" s="153">
        <f t="shared" si="302"/>
        <v>0</v>
      </c>
      <c r="AE145" s="147">
        <v>1</v>
      </c>
      <c r="AF145" s="153">
        <f t="shared" si="303"/>
        <v>48.531061236526043</v>
      </c>
      <c r="AG145" s="145"/>
      <c r="AH145" s="153">
        <f t="shared" si="304"/>
        <v>0</v>
      </c>
      <c r="AI145" s="147"/>
      <c r="AJ145" s="153">
        <f t="shared" si="305"/>
        <v>0</v>
      </c>
      <c r="AK145" s="145"/>
      <c r="AL145" s="153">
        <f t="shared" si="306"/>
        <v>0</v>
      </c>
      <c r="AM145" s="147"/>
      <c r="AN145" s="153">
        <f t="shared" si="307"/>
        <v>0</v>
      </c>
      <c r="AO145" s="145"/>
      <c r="AP145" s="153">
        <f t="shared" si="308"/>
        <v>0</v>
      </c>
      <c r="AQ145" s="147"/>
      <c r="AR145" s="153">
        <f t="shared" si="309"/>
        <v>0</v>
      </c>
      <c r="AS145" s="148">
        <f>AS144</f>
        <v>0</v>
      </c>
      <c r="AT145" s="149">
        <f t="shared" ref="AT145" si="315">AS145*0.9</f>
        <v>0</v>
      </c>
      <c r="AU145" s="150">
        <f>AU144</f>
        <v>0</v>
      </c>
      <c r="AV145" s="153">
        <f t="shared" si="310"/>
        <v>0</v>
      </c>
      <c r="AW145" s="151">
        <f>AW144</f>
        <v>0</v>
      </c>
      <c r="AX145" s="152">
        <f>AU145-AW145</f>
        <v>0</v>
      </c>
      <c r="AY145" s="153">
        <f t="shared" ref="AY145" si="316">(AU145-AX145)*AT145</f>
        <v>0</v>
      </c>
      <c r="AZ145" s="153">
        <f t="shared" si="312"/>
        <v>95.126568025135867</v>
      </c>
      <c r="BA145" s="153">
        <f t="shared" si="313"/>
        <v>204.79378827422985</v>
      </c>
      <c r="BB145" s="153">
        <f t="shared" si="314"/>
        <v>109.66722024909399</v>
      </c>
      <c r="BC145" s="241">
        <v>0.8</v>
      </c>
      <c r="BD145" s="155">
        <f>BE145-BD144-BD134-BD133</f>
        <v>5.3332800000000027E-2</v>
      </c>
      <c r="BE145" s="285">
        <v>0.2</v>
      </c>
    </row>
    <row r="146" spans="1:57" ht="14.25" x14ac:dyDescent="0.25">
      <c r="A146" s="277"/>
      <c r="B146" s="138"/>
      <c r="C146" s="156" t="s">
        <v>66</v>
      </c>
      <c r="D146" s="252" t="str">
        <f t="shared" si="290"/>
        <v>ja</v>
      </c>
      <c r="E146" s="253" t="s">
        <v>76</v>
      </c>
      <c r="F146" s="281">
        <v>0.5</v>
      </c>
      <c r="G146" s="282">
        <v>25</v>
      </c>
      <c r="H146" s="256">
        <f t="shared" si="291"/>
        <v>26.445</v>
      </c>
      <c r="I146" s="257">
        <v>0.3</v>
      </c>
      <c r="J146" s="256">
        <f t="shared" si="292"/>
        <v>41.288999999999994</v>
      </c>
      <c r="K146" s="280">
        <v>0.8</v>
      </c>
      <c r="L146" s="256">
        <f t="shared" si="293"/>
        <v>110.104</v>
      </c>
      <c r="M146" s="257">
        <v>0.7</v>
      </c>
      <c r="N146" s="256">
        <f t="shared" si="294"/>
        <v>34.044499999999999</v>
      </c>
      <c r="O146" s="280">
        <v>1.5</v>
      </c>
      <c r="P146" s="256">
        <f t="shared" si="295"/>
        <v>72.952500000000015</v>
      </c>
      <c r="Q146" s="257">
        <v>1</v>
      </c>
      <c r="R146" s="256">
        <f t="shared" si="296"/>
        <v>46.491568025135855</v>
      </c>
      <c r="S146" s="280">
        <v>1.5</v>
      </c>
      <c r="T146" s="256">
        <f t="shared" si="297"/>
        <v>69.737352037703786</v>
      </c>
      <c r="U146" s="257"/>
      <c r="V146" s="256">
        <f t="shared" si="298"/>
        <v>0</v>
      </c>
      <c r="W146" s="280"/>
      <c r="X146" s="256">
        <f t="shared" si="299"/>
        <v>0</v>
      </c>
      <c r="Y146" s="257"/>
      <c r="Z146" s="256">
        <f t="shared" si="300"/>
        <v>0</v>
      </c>
      <c r="AA146" s="280"/>
      <c r="AB146" s="256">
        <f t="shared" si="301"/>
        <v>0</v>
      </c>
      <c r="AC146" s="257"/>
      <c r="AD146" s="256">
        <f t="shared" si="302"/>
        <v>0</v>
      </c>
      <c r="AE146" s="280">
        <v>0.5</v>
      </c>
      <c r="AF146" s="256">
        <f t="shared" si="303"/>
        <v>24.265530618263021</v>
      </c>
      <c r="AG146" s="257"/>
      <c r="AH146" s="256">
        <f t="shared" si="304"/>
        <v>0</v>
      </c>
      <c r="AI146" s="280"/>
      <c r="AJ146" s="256">
        <f t="shared" si="305"/>
        <v>0</v>
      </c>
      <c r="AK146" s="257"/>
      <c r="AL146" s="256">
        <f t="shared" si="306"/>
        <v>0</v>
      </c>
      <c r="AM146" s="280"/>
      <c r="AN146" s="256">
        <f t="shared" si="307"/>
        <v>0</v>
      </c>
      <c r="AO146" s="257"/>
      <c r="AP146" s="256">
        <f t="shared" si="308"/>
        <v>0</v>
      </c>
      <c r="AQ146" s="280"/>
      <c r="AR146" s="256">
        <f t="shared" si="309"/>
        <v>0</v>
      </c>
      <c r="AS146" s="259">
        <v>0</v>
      </c>
      <c r="AT146" s="260">
        <f>AS146*0.9</f>
        <v>0</v>
      </c>
      <c r="AU146" s="261">
        <f>AU135</f>
        <v>0</v>
      </c>
      <c r="AV146" s="256">
        <f t="shared" si="310"/>
        <v>0</v>
      </c>
      <c r="AW146" s="262">
        <v>0</v>
      </c>
      <c r="AX146" s="263">
        <v>0</v>
      </c>
      <c r="AY146" s="256">
        <f>(AU146-AX146)*AT146</f>
        <v>0</v>
      </c>
      <c r="AZ146" s="256">
        <f t="shared" si="312"/>
        <v>121.82506802513583</v>
      </c>
      <c r="BA146" s="256">
        <f t="shared" si="313"/>
        <v>253.81475765596682</v>
      </c>
      <c r="BB146" s="222">
        <f t="shared" si="314"/>
        <v>131.98968963083098</v>
      </c>
      <c r="BC146" s="264">
        <v>0.2</v>
      </c>
      <c r="BD146" s="265">
        <f>0.45*BC146*BE147</f>
        <v>6.3000000000000014E-2</v>
      </c>
    </row>
    <row r="147" spans="1:57" ht="15" thickBot="1" x14ac:dyDescent="0.3">
      <c r="A147" s="277"/>
      <c r="B147" s="138"/>
      <c r="C147" s="332"/>
      <c r="D147" s="299" t="str">
        <f t="shared" si="290"/>
        <v>nein</v>
      </c>
      <c r="E147" s="326" t="s">
        <v>76</v>
      </c>
      <c r="F147" s="301">
        <v>1</v>
      </c>
      <c r="G147" s="302">
        <v>25</v>
      </c>
      <c r="H147" s="327">
        <f t="shared" si="291"/>
        <v>38.945</v>
      </c>
      <c r="I147" s="303"/>
      <c r="J147" s="327">
        <f t="shared" si="292"/>
        <v>0</v>
      </c>
      <c r="K147" s="328"/>
      <c r="L147" s="327">
        <f t="shared" si="293"/>
        <v>0</v>
      </c>
      <c r="M147" s="303">
        <v>1</v>
      </c>
      <c r="N147" s="327">
        <f t="shared" si="294"/>
        <v>48.635000000000005</v>
      </c>
      <c r="O147" s="328">
        <v>2</v>
      </c>
      <c r="P147" s="327">
        <f t="shared" si="295"/>
        <v>97.27000000000001</v>
      </c>
      <c r="Q147" s="303">
        <v>1</v>
      </c>
      <c r="R147" s="327">
        <f t="shared" si="296"/>
        <v>46.491568025135855</v>
      </c>
      <c r="S147" s="328">
        <v>1.5</v>
      </c>
      <c r="T147" s="327">
        <f t="shared" si="297"/>
        <v>69.737352037703786</v>
      </c>
      <c r="U147" s="303"/>
      <c r="V147" s="327">
        <f t="shared" si="298"/>
        <v>0</v>
      </c>
      <c r="W147" s="328"/>
      <c r="X147" s="327">
        <f t="shared" si="299"/>
        <v>0</v>
      </c>
      <c r="Y147" s="303"/>
      <c r="Z147" s="327">
        <f t="shared" si="300"/>
        <v>0</v>
      </c>
      <c r="AA147" s="328"/>
      <c r="AB147" s="327">
        <f t="shared" si="301"/>
        <v>0</v>
      </c>
      <c r="AC147" s="303"/>
      <c r="AD147" s="327">
        <f t="shared" si="302"/>
        <v>0</v>
      </c>
      <c r="AE147" s="328">
        <v>1</v>
      </c>
      <c r="AF147" s="327">
        <f t="shared" si="303"/>
        <v>48.531061236526043</v>
      </c>
      <c r="AG147" s="303"/>
      <c r="AH147" s="327">
        <f t="shared" si="304"/>
        <v>0</v>
      </c>
      <c r="AI147" s="328"/>
      <c r="AJ147" s="327">
        <f t="shared" si="305"/>
        <v>0</v>
      </c>
      <c r="AK147" s="303"/>
      <c r="AL147" s="327">
        <f t="shared" si="306"/>
        <v>0</v>
      </c>
      <c r="AM147" s="328"/>
      <c r="AN147" s="327">
        <f t="shared" si="307"/>
        <v>0</v>
      </c>
      <c r="AO147" s="303"/>
      <c r="AP147" s="327">
        <f t="shared" si="308"/>
        <v>0</v>
      </c>
      <c r="AQ147" s="328"/>
      <c r="AR147" s="327">
        <f t="shared" si="309"/>
        <v>0</v>
      </c>
      <c r="AS147" s="305">
        <f>AS146</f>
        <v>0</v>
      </c>
      <c r="AT147" s="306">
        <f t="shared" ref="AT147" si="317">AS147*0.9</f>
        <v>0</v>
      </c>
      <c r="AU147" s="307">
        <f>AU146</f>
        <v>0</v>
      </c>
      <c r="AV147" s="327">
        <f t="shared" si="310"/>
        <v>0</v>
      </c>
      <c r="AW147" s="308">
        <f>AW146</f>
        <v>0</v>
      </c>
      <c r="AX147" s="329">
        <v>0</v>
      </c>
      <c r="AY147" s="327">
        <f t="shared" ref="AY147" si="318">(AU147-AX147)*AT147</f>
        <v>0</v>
      </c>
      <c r="AZ147" s="327">
        <f t="shared" si="312"/>
        <v>95.126568025135867</v>
      </c>
      <c r="BA147" s="327">
        <f t="shared" si="313"/>
        <v>204.79378827422985</v>
      </c>
      <c r="BB147" s="330">
        <f t="shared" si="314"/>
        <v>109.66722024909399</v>
      </c>
      <c r="BC147" s="310">
        <v>0.8</v>
      </c>
      <c r="BD147" s="331">
        <f>BE147-BD146-BD136-BD135</f>
        <v>0.252</v>
      </c>
      <c r="BE147" s="223">
        <f>1-BE145-BE143-BE141</f>
        <v>0.70000000000000007</v>
      </c>
    </row>
    <row r="148" spans="1:57" ht="14.25" x14ac:dyDescent="0.25">
      <c r="A148" s="277"/>
      <c r="B148" s="138"/>
      <c r="C148" s="267" t="s">
        <v>69</v>
      </c>
      <c r="D148" s="121" t="s">
        <v>62</v>
      </c>
      <c r="E148" s="194"/>
      <c r="F148" s="195"/>
      <c r="G148" s="196"/>
      <c r="H148" s="197"/>
      <c r="I148" s="198"/>
      <c r="J148" s="197"/>
      <c r="K148" s="199"/>
      <c r="L148" s="197"/>
      <c r="M148" s="198"/>
      <c r="N148" s="197"/>
      <c r="O148" s="199"/>
      <c r="P148" s="197"/>
      <c r="Q148" s="198"/>
      <c r="R148" s="197"/>
      <c r="S148" s="199"/>
      <c r="T148" s="197"/>
      <c r="U148" s="198"/>
      <c r="V148" s="197"/>
      <c r="W148" s="199"/>
      <c r="X148" s="197"/>
      <c r="Y148" s="198"/>
      <c r="Z148" s="197"/>
      <c r="AA148" s="199"/>
      <c r="AB148" s="197"/>
      <c r="AC148" s="198"/>
      <c r="AD148" s="197"/>
      <c r="AE148" s="199"/>
      <c r="AF148" s="197"/>
      <c r="AG148" s="198"/>
      <c r="AH148" s="197"/>
      <c r="AI148" s="199"/>
      <c r="AJ148" s="197"/>
      <c r="AK148" s="198"/>
      <c r="AL148" s="197"/>
      <c r="AM148" s="199"/>
      <c r="AN148" s="197"/>
      <c r="AO148" s="198"/>
      <c r="AP148" s="197"/>
      <c r="AQ148" s="199"/>
      <c r="AR148" s="197"/>
      <c r="AS148" s="200"/>
      <c r="AT148" s="200"/>
      <c r="AU148" s="201"/>
      <c r="AV148" s="197"/>
      <c r="AW148" s="201"/>
      <c r="AX148" s="201"/>
      <c r="AY148" s="197"/>
      <c r="AZ148" s="197"/>
      <c r="BA148" s="197"/>
      <c r="BB148" s="220">
        <f>(BB140*BD140+BB142*BD142+BB144*BD144+BB146*BD146)/(BD140+BD142+BD144+BD146)</f>
        <v>95.523412696177544</v>
      </c>
      <c r="BC148" s="203"/>
      <c r="BD148" s="136">
        <f>BD140+BD142+BD144+BD146</f>
        <v>0.10633320000000002</v>
      </c>
    </row>
    <row r="149" spans="1:57" ht="15" thickBot="1" x14ac:dyDescent="0.3">
      <c r="A149" s="277"/>
      <c r="B149" s="138"/>
      <c r="C149" s="266"/>
      <c r="D149" s="178" t="s">
        <v>64</v>
      </c>
      <c r="E149" s="204"/>
      <c r="F149" s="205"/>
      <c r="G149" s="206"/>
      <c r="H149" s="115"/>
      <c r="I149" s="207"/>
      <c r="J149" s="115"/>
      <c r="K149" s="208"/>
      <c r="L149" s="115"/>
      <c r="M149" s="207"/>
      <c r="N149" s="115"/>
      <c r="O149" s="208"/>
      <c r="P149" s="115"/>
      <c r="Q149" s="207"/>
      <c r="R149" s="115"/>
      <c r="S149" s="208"/>
      <c r="T149" s="115"/>
      <c r="U149" s="207"/>
      <c r="V149" s="115"/>
      <c r="W149" s="208"/>
      <c r="X149" s="115"/>
      <c r="Y149" s="207"/>
      <c r="Z149" s="115"/>
      <c r="AA149" s="208"/>
      <c r="AB149" s="115"/>
      <c r="AC149" s="207"/>
      <c r="AD149" s="115"/>
      <c r="AE149" s="208"/>
      <c r="AF149" s="115"/>
      <c r="AG149" s="207"/>
      <c r="AH149" s="115"/>
      <c r="AI149" s="208"/>
      <c r="AJ149" s="115"/>
      <c r="AK149" s="207"/>
      <c r="AL149" s="115"/>
      <c r="AM149" s="208"/>
      <c r="AN149" s="115"/>
      <c r="AO149" s="207"/>
      <c r="AP149" s="115"/>
      <c r="AQ149" s="208"/>
      <c r="AR149" s="115"/>
      <c r="AS149" s="209"/>
      <c r="AT149" s="209"/>
      <c r="AU149" s="210"/>
      <c r="AV149" s="115"/>
      <c r="AW149" s="210"/>
      <c r="AX149" s="210"/>
      <c r="AY149" s="115"/>
      <c r="AZ149" s="115"/>
      <c r="BA149" s="115"/>
      <c r="BB149" s="225">
        <f>(BB141*BD141+BB143*BD143+BB145*BD145+BB147*BD147)/(BD141+BD143+BD145+BD147)</f>
        <v>101.8366682764033</v>
      </c>
      <c r="BC149" s="211"/>
      <c r="BD149" s="192">
        <f>BD141+BD143+BD145+BD147</f>
        <v>0.33533280000000004</v>
      </c>
    </row>
    <row r="150" spans="1:57" ht="15.75" thickBot="1" x14ac:dyDescent="0.3">
      <c r="A150" s="277"/>
      <c r="B150" s="138"/>
      <c r="C150" s="266"/>
      <c r="D150" s="286" t="s">
        <v>70</v>
      </c>
      <c r="E150" s="287"/>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28">
        <f>(BB148*BD148+BB149*BD149)/(BD148+BD149)</f>
        <v>100.31672182758619</v>
      </c>
      <c r="BC150" s="217"/>
      <c r="BD150" s="218">
        <f>BD148+BD149</f>
        <v>0.44166600000000006</v>
      </c>
    </row>
    <row r="151" spans="1:57" ht="16.5" thickBot="1" x14ac:dyDescent="0.3">
      <c r="A151" s="229" t="s">
        <v>78</v>
      </c>
      <c r="B151" s="230"/>
      <c r="C151" s="230"/>
      <c r="D151" s="231"/>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2"/>
      <c r="BB151" s="233">
        <f>BB139*(BD139)+BB150*(BD150)</f>
        <v>140.26961353918296</v>
      </c>
      <c r="BC151" s="234"/>
      <c r="BD151" s="235"/>
    </row>
    <row r="153" spans="1:57" x14ac:dyDescent="0.25">
      <c r="D153" s="13"/>
      <c r="BA153" s="334"/>
      <c r="BC153" s="13"/>
    </row>
    <row r="154" spans="1:57" ht="18" customHeight="1" thickBot="1" x14ac:dyDescent="0.3">
      <c r="A154" s="335" t="s">
        <v>79</v>
      </c>
      <c r="B154" s="336"/>
      <c r="C154" s="337"/>
      <c r="D154" s="337"/>
      <c r="E154" s="336"/>
      <c r="F154" s="336"/>
      <c r="BC154" s="13"/>
    </row>
    <row r="155" spans="1:57" ht="15.75" x14ac:dyDescent="0.25">
      <c r="A155" s="338" t="s">
        <v>22</v>
      </c>
      <c r="B155" s="339" t="s">
        <v>80</v>
      </c>
      <c r="C155" s="339"/>
      <c r="D155" s="339"/>
      <c r="E155" s="339"/>
      <c r="F155" s="340" t="s">
        <v>81</v>
      </c>
      <c r="G155" s="341"/>
      <c r="H155" s="342" t="s">
        <v>82</v>
      </c>
      <c r="I155" s="343"/>
      <c r="AP155" s="293"/>
      <c r="AQ155" s="293"/>
      <c r="BC155" s="13"/>
    </row>
    <row r="156" spans="1:57" ht="15.75" x14ac:dyDescent="0.25">
      <c r="A156" s="344"/>
      <c r="B156" s="92" t="s">
        <v>83</v>
      </c>
      <c r="C156" s="92" t="s">
        <v>84</v>
      </c>
      <c r="D156" s="345" t="s">
        <v>85</v>
      </c>
      <c r="E156" s="345"/>
      <c r="F156" s="346" t="s">
        <v>86</v>
      </c>
      <c r="G156" s="347"/>
      <c r="H156" s="348" t="s">
        <v>87</v>
      </c>
      <c r="I156" s="343"/>
      <c r="AP156" s="293"/>
      <c r="AQ156" s="293"/>
      <c r="BC156" s="13"/>
    </row>
    <row r="157" spans="1:57" ht="17.45" customHeight="1" x14ac:dyDescent="0.25">
      <c r="A157" s="349" t="s">
        <v>61</v>
      </c>
      <c r="B157" s="350">
        <f>BB28</f>
        <v>84.354707473046361</v>
      </c>
      <c r="C157" s="350">
        <f>BB41</f>
        <v>14.668444619563275</v>
      </c>
      <c r="D157" s="351">
        <f>(BB16*BD16+BB17*BD17+BB29*BD29+BB30*BD30+BB18*BD18+BB19*BD19+BB31*BD31+BB32*BD32+BB20*BD20+BB21*BD21+BB33*BD33+BB34*BD34+BB22*BD22+BB23*BD23+BB35*BD35+BB36*BD36+BB24*BD24+BB25*BD25+BB37*BD37+BB38*BD38)</f>
        <v>62.926143318155745</v>
      </c>
      <c r="E157" s="351"/>
      <c r="F157" s="352">
        <v>7.3999999999999996E-2</v>
      </c>
      <c r="G157" s="353"/>
      <c r="H157" s="354">
        <f t="shared" ref="H157:H162" si="319">F157*D157</f>
        <v>4.6565346055435253</v>
      </c>
      <c r="I157" s="355"/>
      <c r="J157" s="356"/>
      <c r="AZ157" s="334"/>
    </row>
    <row r="158" spans="1:57" ht="18" x14ac:dyDescent="0.25">
      <c r="A158" s="357" t="s">
        <v>63</v>
      </c>
      <c r="B158" s="358">
        <f>BB57</f>
        <v>76.079695845332211</v>
      </c>
      <c r="C158" s="358">
        <f>BB72</f>
        <v>38.21541938526866</v>
      </c>
      <c r="D158" s="359">
        <f>(BB43*BD43+BB44*BD44+BB58*BD58+BB59*BD59+BB45*BD45+BB46*BD46+BB60*BD60+BB61*BD61+BB47*BD47+BB48*BD48+BB62*BD62+BB63*BD63+BB49*BD49+BB50*BD50+BB64*BD64+BB65*BD65+BB51*BD51+BB52*BD52+BB66*BD66+BB67*BD67+BB53*BD53+BB54*BD54+BB68*BD68+BB69*BD69)</f>
        <v>62.82721309409223</v>
      </c>
      <c r="E158" s="359"/>
      <c r="F158" s="360">
        <v>0.34</v>
      </c>
      <c r="G158" s="361"/>
      <c r="H158" s="362">
        <f t="shared" si="319"/>
        <v>21.361252451991358</v>
      </c>
      <c r="I158" s="355"/>
      <c r="J158" s="356"/>
      <c r="AO158" s="293"/>
      <c r="AZ158" s="334"/>
    </row>
    <row r="159" spans="1:57" ht="18" x14ac:dyDescent="0.25">
      <c r="A159" s="357" t="s">
        <v>88</v>
      </c>
      <c r="B159" s="358"/>
      <c r="C159" s="358"/>
      <c r="D159" s="359">
        <f>BB105*BD105+BB106*BD106+BB107*BD107+BB108*BD108+BB109*BD109+BB110*BD110+BB111*BD111+BB112*BD112+BB113*BD113+BB114*BD114+BB115*BD115+BB116*BD116</f>
        <v>36.528941202164553</v>
      </c>
      <c r="E159" s="359"/>
      <c r="F159" s="360">
        <v>0.40400000000000003</v>
      </c>
      <c r="G159" s="361"/>
      <c r="H159" s="362">
        <f t="shared" si="319"/>
        <v>14.75769224567448</v>
      </c>
      <c r="I159" s="355"/>
      <c r="J159" s="356"/>
      <c r="AZ159" s="334"/>
    </row>
    <row r="160" spans="1:57" ht="17.45" customHeight="1" x14ac:dyDescent="0.25">
      <c r="A160" s="357" t="s">
        <v>89</v>
      </c>
      <c r="B160" s="358">
        <f>BB88</f>
        <v>69.231965474963673</v>
      </c>
      <c r="C160" s="358">
        <f>BB103</f>
        <v>18.792809990377702</v>
      </c>
      <c r="D160" s="359">
        <f>BB74*BD74+BB75*BD75+BB89*BD89+BB90*BD90+BB76*BD76+BB77*BD77+BB91*BD91+BB92*BD92+BB78*BD78+BB79*BD79+BB93*BD93+BB94*BD94+BB80*BD80+BB81*BD81+BB95*BD95+BB96*BD96+BB82*BD82+BB83*BD83+BB97*BD97+BB98*BD98+BB84*BD84+BB85*BD85+BB99*BD99+BB100*BD100</f>
        <v>39.388806886442886</v>
      </c>
      <c r="E160" s="359"/>
      <c r="F160" s="360">
        <v>5.2999999999999999E-2</v>
      </c>
      <c r="G160" s="361"/>
      <c r="H160" s="362">
        <f t="shared" si="319"/>
        <v>2.0876067649814729</v>
      </c>
      <c r="I160" s="355"/>
      <c r="J160" s="356"/>
      <c r="AZ160" s="334"/>
    </row>
    <row r="161" spans="1:52" ht="18" x14ac:dyDescent="0.25">
      <c r="A161" s="357" t="s">
        <v>90</v>
      </c>
      <c r="B161" s="358"/>
      <c r="C161" s="358"/>
      <c r="D161" s="359">
        <f>BB120*BD120+BB121*BD121+BB122*BD122+BB123*BD123+BB124*BD124+BB125*BD125</f>
        <v>88.672417006283979</v>
      </c>
      <c r="E161" s="359"/>
      <c r="F161" s="360">
        <v>6.8000000000000005E-2</v>
      </c>
      <c r="G161" s="361"/>
      <c r="H161" s="362">
        <f t="shared" si="319"/>
        <v>6.0297243564273106</v>
      </c>
      <c r="I161" s="355"/>
      <c r="J161" s="356"/>
      <c r="AZ161" s="334"/>
    </row>
    <row r="162" spans="1:52" ht="18" x14ac:dyDescent="0.25">
      <c r="A162" s="363" t="s">
        <v>91</v>
      </c>
      <c r="B162" s="364">
        <f>BB139</f>
        <v>171.87405437691467</v>
      </c>
      <c r="C162" s="364">
        <f>BB150</f>
        <v>100.31672182758619</v>
      </c>
      <c r="D162" s="365">
        <f>BB129*BD129+BB130*BD130+BB140*BD140+BB141*BD141+BB131*BD131+BB132*BD132+BB142*BD142+BB143*BD143+BB133*BD133+BB134*BD134+BB144*BD144+BB145*BD145+BB135*BD135+BB136*BD136+BB146*BD146+BB147*BD147</f>
        <v>140.26961353918296</v>
      </c>
      <c r="E162" s="365"/>
      <c r="F162" s="366">
        <f>1-F161-F160-F159-F158-F157</f>
        <v>6.0999999999999846E-2</v>
      </c>
      <c r="G162" s="367"/>
      <c r="H162" s="368">
        <f t="shared" si="319"/>
        <v>8.5564464258901385</v>
      </c>
      <c r="I162" s="355"/>
      <c r="J162" s="356"/>
      <c r="AZ162" s="334"/>
    </row>
    <row r="163" spans="1:52" ht="18.75" thickBot="1" x14ac:dyDescent="0.3">
      <c r="A163" s="369" t="s">
        <v>92</v>
      </c>
      <c r="B163" s="107"/>
      <c r="C163" s="370"/>
      <c r="D163" s="371"/>
      <c r="E163" s="107"/>
      <c r="F163" s="372">
        <f>SUM(F157:F162)</f>
        <v>0.99999999999999989</v>
      </c>
      <c r="G163" s="373"/>
      <c r="H163" s="374">
        <f>SUM(H157:H162)</f>
        <v>57.449256850508284</v>
      </c>
      <c r="I163" s="375"/>
      <c r="J163" s="356"/>
      <c r="AZ163" s="334"/>
    </row>
    <row r="164" spans="1:52" ht="18" x14ac:dyDescent="0.25">
      <c r="A164" s="335"/>
      <c r="F164" s="376"/>
      <c r="G164" s="377"/>
      <c r="H164" s="377"/>
      <c r="I164" s="378"/>
      <c r="J164" s="356"/>
      <c r="K164" s="356"/>
      <c r="L164" s="379"/>
      <c r="M164" s="379"/>
      <c r="N164" s="380"/>
    </row>
    <row r="165" spans="1:52" x14ac:dyDescent="0.25">
      <c r="A165" s="333" t="s">
        <v>93</v>
      </c>
    </row>
    <row r="166" spans="1:52" x14ac:dyDescent="0.25">
      <c r="A166" s="333" t="s">
        <v>94</v>
      </c>
      <c r="C166" s="381"/>
    </row>
    <row r="167" spans="1:52" x14ac:dyDescent="0.25">
      <c r="A167" s="333" t="s">
        <v>95</v>
      </c>
      <c r="C167" s="381"/>
    </row>
    <row r="168" spans="1:52" x14ac:dyDescent="0.25">
      <c r="C168" s="381"/>
    </row>
    <row r="169" spans="1:52" x14ac:dyDescent="0.25">
      <c r="C169" s="381"/>
    </row>
    <row r="170" spans="1:52" ht="15.75" x14ac:dyDescent="0.25">
      <c r="C170" s="382" t="s">
        <v>96</v>
      </c>
      <c r="D170" s="383" t="s">
        <v>97</v>
      </c>
    </row>
    <row r="171" spans="1:52" x14ac:dyDescent="0.25">
      <c r="C171" s="381"/>
    </row>
    <row r="172" spans="1:52" x14ac:dyDescent="0.25">
      <c r="C172" s="384"/>
    </row>
  </sheetData>
  <mergeCells count="154">
    <mergeCell ref="F163:G163"/>
    <mergeCell ref="D160:E160"/>
    <mergeCell ref="F160:G160"/>
    <mergeCell ref="D161:E161"/>
    <mergeCell ref="F161:G161"/>
    <mergeCell ref="D162:E162"/>
    <mergeCell ref="F162:G162"/>
    <mergeCell ref="D157:E157"/>
    <mergeCell ref="F157:G157"/>
    <mergeCell ref="D158:E158"/>
    <mergeCell ref="F158:G158"/>
    <mergeCell ref="D159:E159"/>
    <mergeCell ref="F159:G159"/>
    <mergeCell ref="C144:C145"/>
    <mergeCell ref="C146:C147"/>
    <mergeCell ref="C148:C150"/>
    <mergeCell ref="B155:E155"/>
    <mergeCell ref="F155:G155"/>
    <mergeCell ref="D156:E156"/>
    <mergeCell ref="F156:G156"/>
    <mergeCell ref="A129:A150"/>
    <mergeCell ref="B129:B139"/>
    <mergeCell ref="C129:C130"/>
    <mergeCell ref="C131:C132"/>
    <mergeCell ref="C133:C134"/>
    <mergeCell ref="C135:C136"/>
    <mergeCell ref="C137:C139"/>
    <mergeCell ref="B140:B150"/>
    <mergeCell ref="C140:C141"/>
    <mergeCell ref="C142:C143"/>
    <mergeCell ref="A120:A127"/>
    <mergeCell ref="B120:B127"/>
    <mergeCell ref="C120:C121"/>
    <mergeCell ref="C122:C123"/>
    <mergeCell ref="C124:C125"/>
    <mergeCell ref="C126:C127"/>
    <mergeCell ref="A105:A118"/>
    <mergeCell ref="B105:B118"/>
    <mergeCell ref="C105:C106"/>
    <mergeCell ref="C107:C108"/>
    <mergeCell ref="C109:C110"/>
    <mergeCell ref="C111:C112"/>
    <mergeCell ref="C113:C114"/>
    <mergeCell ref="C115:C116"/>
    <mergeCell ref="C117:C118"/>
    <mergeCell ref="B89:B103"/>
    <mergeCell ref="C89:C90"/>
    <mergeCell ref="C91:C92"/>
    <mergeCell ref="C93:C94"/>
    <mergeCell ref="C95:C96"/>
    <mergeCell ref="C97:C98"/>
    <mergeCell ref="C99:C100"/>
    <mergeCell ref="C101:C103"/>
    <mergeCell ref="C70:C72"/>
    <mergeCell ref="A74:A103"/>
    <mergeCell ref="B74:B88"/>
    <mergeCell ref="C74:C75"/>
    <mergeCell ref="C76:C77"/>
    <mergeCell ref="C78:C79"/>
    <mergeCell ref="C80:C81"/>
    <mergeCell ref="C82:C83"/>
    <mergeCell ref="C84:C85"/>
    <mergeCell ref="C86:C88"/>
    <mergeCell ref="C58:C59"/>
    <mergeCell ref="C60:C61"/>
    <mergeCell ref="C62:C63"/>
    <mergeCell ref="C64:C65"/>
    <mergeCell ref="C66:C67"/>
    <mergeCell ref="C68:C69"/>
    <mergeCell ref="A43:A72"/>
    <mergeCell ref="B43:B57"/>
    <mergeCell ref="C43:C44"/>
    <mergeCell ref="C45:C46"/>
    <mergeCell ref="C47:C48"/>
    <mergeCell ref="C49:C50"/>
    <mergeCell ref="C51:C52"/>
    <mergeCell ref="C53:C54"/>
    <mergeCell ref="C55:C57"/>
    <mergeCell ref="B58:B72"/>
    <mergeCell ref="C24:C25"/>
    <mergeCell ref="C26:C28"/>
    <mergeCell ref="B29:B41"/>
    <mergeCell ref="C29:C30"/>
    <mergeCell ref="C31:C32"/>
    <mergeCell ref="C33:C34"/>
    <mergeCell ref="C35:C36"/>
    <mergeCell ref="C37:C38"/>
    <mergeCell ref="C39:C41"/>
    <mergeCell ref="AK14:AL14"/>
    <mergeCell ref="AM14:AN14"/>
    <mergeCell ref="AO14:AP14"/>
    <mergeCell ref="AQ14:AR14"/>
    <mergeCell ref="A16:A41"/>
    <mergeCell ref="B16:B28"/>
    <mergeCell ref="C16:C17"/>
    <mergeCell ref="C18:C19"/>
    <mergeCell ref="C20:C21"/>
    <mergeCell ref="C22:C23"/>
    <mergeCell ref="Y14:Z14"/>
    <mergeCell ref="AA14:AB14"/>
    <mergeCell ref="AC14:AD14"/>
    <mergeCell ref="AE14:AF14"/>
    <mergeCell ref="AG14:AH14"/>
    <mergeCell ref="AI14:AJ14"/>
    <mergeCell ref="M14:N14"/>
    <mergeCell ref="O14:P14"/>
    <mergeCell ref="Q14:R14"/>
    <mergeCell ref="S14:T14"/>
    <mergeCell ref="U14:V14"/>
    <mergeCell ref="W14:X14"/>
    <mergeCell ref="AG13:AH13"/>
    <mergeCell ref="AI13:AJ13"/>
    <mergeCell ref="AK13:AL13"/>
    <mergeCell ref="AM13:AN13"/>
    <mergeCell ref="AO13:AP13"/>
    <mergeCell ref="AQ13:AR13"/>
    <mergeCell ref="U13:V13"/>
    <mergeCell ref="W13:X13"/>
    <mergeCell ref="Y13:Z13"/>
    <mergeCell ref="AA13:AB13"/>
    <mergeCell ref="AC13:AD13"/>
    <mergeCell ref="AE13:AF13"/>
    <mergeCell ref="AZ12:BA12"/>
    <mergeCell ref="BB12:BB15"/>
    <mergeCell ref="BC12:BC15"/>
    <mergeCell ref="BD12:BD15"/>
    <mergeCell ref="I13:J13"/>
    <mergeCell ref="K13:L13"/>
    <mergeCell ref="M13:N13"/>
    <mergeCell ref="O13:P13"/>
    <mergeCell ref="Q13:R13"/>
    <mergeCell ref="S13:T13"/>
    <mergeCell ref="AC12:AF12"/>
    <mergeCell ref="AG12:AJ12"/>
    <mergeCell ref="AK12:AN12"/>
    <mergeCell ref="AO12:AR12"/>
    <mergeCell ref="AS12:AV12"/>
    <mergeCell ref="AW12:AY12"/>
    <mergeCell ref="E12:H12"/>
    <mergeCell ref="I12:L12"/>
    <mergeCell ref="M12:P12"/>
    <mergeCell ref="Q12:T12"/>
    <mergeCell ref="U12:X12"/>
    <mergeCell ref="Y12:AB12"/>
    <mergeCell ref="A1:AI1"/>
    <mergeCell ref="A5:P5"/>
    <mergeCell ref="I6:L8"/>
    <mergeCell ref="AS6:BA11"/>
    <mergeCell ref="BB6:BD8"/>
    <mergeCell ref="E7:F7"/>
    <mergeCell ref="E8:F8"/>
    <mergeCell ref="E9:F9"/>
    <mergeCell ref="I9:L11"/>
    <mergeCell ref="BB9:BD11"/>
  </mergeCells>
  <hyperlinks>
    <hyperlink ref="D170" r:id="rId1" xr:uid="{5529CAA9-DBA1-4F2C-B49A-8F33CAE0F515}"/>
  </hyperlinks>
  <pageMargins left="0.7" right="0.7" top="0.78740157499999996" bottom="0.78740157499999996" header="0.3" footer="0.3"/>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Hasberg</dc:creator>
  <cp:lastModifiedBy>Joachim Hasberg</cp:lastModifiedBy>
  <dcterms:created xsi:type="dcterms:W3CDTF">2025-03-11T08:49:09Z</dcterms:created>
  <dcterms:modified xsi:type="dcterms:W3CDTF">2025-03-11T08:51:08Z</dcterms:modified>
</cp:coreProperties>
</file>