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PSM Allgem und Glyphosat\Glyphosat\Antragstellung Ausgleich Glyphosat-Verbot\Antragstellung 2026 für 2024\"/>
    </mc:Choice>
  </mc:AlternateContent>
  <xr:revisionPtr revIDLastSave="0" documentId="13_ncr:1_{A30BDE74-956C-4B87-B88B-3705ABAB2AC5}" xr6:coauthVersionLast="47" xr6:coauthVersionMax="47" xr10:uidLastSave="{00000000-0000-0000-0000-000000000000}"/>
  <bookViews>
    <workbookView xWindow="-96" yWindow="0" windowWidth="20676" windowHeight="16656" xr2:uid="{30EB38F2-B840-4EE3-810C-CEE55CE4FDBB}"/>
  </bookViews>
  <sheets>
    <sheet name="Tabelle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9" i="1" l="1"/>
  <c r="G160" i="1" s="1"/>
  <c r="BF144" i="1"/>
  <c r="AX144" i="1"/>
  <c r="AT144" i="1"/>
  <c r="AU144" i="1" s="1"/>
  <c r="AS144" i="1"/>
  <c r="AQ144" i="1"/>
  <c r="AO144" i="1"/>
  <c r="AM144" i="1"/>
  <c r="AK144" i="1"/>
  <c r="AI144" i="1"/>
  <c r="AG144" i="1"/>
  <c r="AE144" i="1"/>
  <c r="AC144" i="1"/>
  <c r="AA144" i="1"/>
  <c r="Y144" i="1"/>
  <c r="W144" i="1"/>
  <c r="U144" i="1"/>
  <c r="S144" i="1"/>
  <c r="Q144" i="1"/>
  <c r="O144" i="1"/>
  <c r="M144" i="1"/>
  <c r="K144" i="1"/>
  <c r="BE143" i="1"/>
  <c r="AU143" i="1"/>
  <c r="AS143" i="1"/>
  <c r="AQ143" i="1"/>
  <c r="AO143" i="1"/>
  <c r="AM143" i="1"/>
  <c r="AK143" i="1"/>
  <c r="AI143" i="1"/>
  <c r="AG143" i="1"/>
  <c r="AE143" i="1"/>
  <c r="AC143" i="1"/>
  <c r="AA143" i="1"/>
  <c r="Y143" i="1"/>
  <c r="W143" i="1"/>
  <c r="U143" i="1"/>
  <c r="S143" i="1"/>
  <c r="Q143" i="1"/>
  <c r="O143" i="1"/>
  <c r="M143" i="1"/>
  <c r="K143" i="1"/>
  <c r="AX142" i="1"/>
  <c r="AT142" i="1"/>
  <c r="AU142" i="1" s="1"/>
  <c r="AS142" i="1"/>
  <c r="AQ142" i="1"/>
  <c r="AO142" i="1"/>
  <c r="AM142" i="1"/>
  <c r="AK142" i="1"/>
  <c r="AI142" i="1"/>
  <c r="AG142" i="1"/>
  <c r="AE142" i="1"/>
  <c r="AC142" i="1"/>
  <c r="AA142" i="1"/>
  <c r="Y142" i="1"/>
  <c r="W142" i="1"/>
  <c r="U142" i="1"/>
  <c r="S142" i="1"/>
  <c r="Q142" i="1"/>
  <c r="O142" i="1"/>
  <c r="M142" i="1"/>
  <c r="K142" i="1"/>
  <c r="BE141" i="1"/>
  <c r="AU141" i="1"/>
  <c r="AS141" i="1"/>
  <c r="AQ141" i="1"/>
  <c r="AO141" i="1"/>
  <c r="AM141" i="1"/>
  <c r="AK141" i="1"/>
  <c r="AI141" i="1"/>
  <c r="AG141" i="1"/>
  <c r="AE141" i="1"/>
  <c r="AC141" i="1"/>
  <c r="AA141" i="1"/>
  <c r="Y141" i="1"/>
  <c r="W141" i="1"/>
  <c r="U141" i="1"/>
  <c r="S141" i="1"/>
  <c r="Q141" i="1"/>
  <c r="O141" i="1"/>
  <c r="M141" i="1"/>
  <c r="K141" i="1"/>
  <c r="F141" i="1"/>
  <c r="F142" i="1" s="1"/>
  <c r="AS140" i="1"/>
  <c r="AQ140" i="1"/>
  <c r="AO140" i="1"/>
  <c r="AM140" i="1"/>
  <c r="AK140" i="1"/>
  <c r="AI140" i="1"/>
  <c r="AG140" i="1"/>
  <c r="AE140" i="1"/>
  <c r="AC140" i="1"/>
  <c r="AA140" i="1"/>
  <c r="Y140" i="1"/>
  <c r="W140" i="1"/>
  <c r="U140" i="1"/>
  <c r="S140" i="1"/>
  <c r="Q140" i="1"/>
  <c r="O140" i="1"/>
  <c r="M140" i="1"/>
  <c r="K140" i="1"/>
  <c r="I140" i="1"/>
  <c r="BE139" i="1"/>
  <c r="AV139" i="1"/>
  <c r="AS139" i="1"/>
  <c r="AQ139" i="1"/>
  <c r="AO139" i="1"/>
  <c r="AM139" i="1"/>
  <c r="AK139" i="1"/>
  <c r="AI139" i="1"/>
  <c r="AG139" i="1"/>
  <c r="AE139" i="1"/>
  <c r="AC139" i="1"/>
  <c r="AA139" i="1"/>
  <c r="Y139" i="1"/>
  <c r="W139" i="1"/>
  <c r="U139" i="1"/>
  <c r="S139" i="1"/>
  <c r="Q139" i="1"/>
  <c r="O139" i="1"/>
  <c r="M139" i="1"/>
  <c r="K139" i="1"/>
  <c r="I139" i="1"/>
  <c r="AV138" i="1"/>
  <c r="AS138" i="1"/>
  <c r="AQ138" i="1"/>
  <c r="AO138" i="1"/>
  <c r="AM138" i="1"/>
  <c r="AK138" i="1"/>
  <c r="AI138" i="1"/>
  <c r="AG138" i="1"/>
  <c r="AE138" i="1"/>
  <c r="AC138" i="1"/>
  <c r="AA138" i="1"/>
  <c r="Y138" i="1"/>
  <c r="W138" i="1"/>
  <c r="U138" i="1"/>
  <c r="S138" i="1"/>
  <c r="Q138" i="1"/>
  <c r="O138" i="1"/>
  <c r="M138" i="1"/>
  <c r="K138" i="1"/>
  <c r="BA138" i="1" s="1"/>
  <c r="I138" i="1"/>
  <c r="BE137" i="1"/>
  <c r="AY137" i="1"/>
  <c r="AV137" i="1"/>
  <c r="AS137" i="1"/>
  <c r="AQ137" i="1"/>
  <c r="AO137" i="1"/>
  <c r="AM137" i="1"/>
  <c r="AK137" i="1"/>
  <c r="AI137" i="1"/>
  <c r="AG137" i="1"/>
  <c r="AE137" i="1"/>
  <c r="AC137" i="1"/>
  <c r="AA137" i="1"/>
  <c r="Y137" i="1"/>
  <c r="W137" i="1"/>
  <c r="U137" i="1"/>
  <c r="S137" i="1"/>
  <c r="Q137" i="1"/>
  <c r="O137" i="1"/>
  <c r="M137" i="1"/>
  <c r="K137" i="1"/>
  <c r="I137" i="1"/>
  <c r="BE133" i="1"/>
  <c r="AX133" i="1"/>
  <c r="AT133" i="1"/>
  <c r="AU133" i="1" s="1"/>
  <c r="AS133" i="1"/>
  <c r="AQ133" i="1"/>
  <c r="AO133" i="1"/>
  <c r="AM133" i="1"/>
  <c r="AK133" i="1"/>
  <c r="AI133" i="1"/>
  <c r="AG133" i="1"/>
  <c r="AE133" i="1"/>
  <c r="AC133" i="1"/>
  <c r="AA133" i="1"/>
  <c r="Y133" i="1"/>
  <c r="W133" i="1"/>
  <c r="U133" i="1"/>
  <c r="S133" i="1"/>
  <c r="Q133" i="1"/>
  <c r="O133" i="1"/>
  <c r="M133" i="1"/>
  <c r="K133" i="1"/>
  <c r="F133" i="1"/>
  <c r="BE132" i="1"/>
  <c r="AU132" i="1"/>
  <c r="AS132" i="1"/>
  <c r="AQ132" i="1"/>
  <c r="AO132" i="1"/>
  <c r="AM132" i="1"/>
  <c r="AK132" i="1"/>
  <c r="AI132" i="1"/>
  <c r="AG132" i="1"/>
  <c r="AE132" i="1"/>
  <c r="AC132" i="1"/>
  <c r="AA132" i="1"/>
  <c r="Y132" i="1"/>
  <c r="W132" i="1"/>
  <c r="U132" i="1"/>
  <c r="S132" i="1"/>
  <c r="Q132" i="1"/>
  <c r="O132" i="1"/>
  <c r="M132" i="1"/>
  <c r="K132" i="1"/>
  <c r="BE131" i="1"/>
  <c r="AX131" i="1"/>
  <c r="AV131" i="1"/>
  <c r="AT131" i="1"/>
  <c r="AU131" i="1" s="1"/>
  <c r="AS131" i="1"/>
  <c r="AQ131" i="1"/>
  <c r="AO131" i="1"/>
  <c r="AM131" i="1"/>
  <c r="AK131" i="1"/>
  <c r="AI131" i="1"/>
  <c r="AG131" i="1"/>
  <c r="AE131" i="1"/>
  <c r="AC131" i="1"/>
  <c r="AA131" i="1"/>
  <c r="Y131" i="1"/>
  <c r="W131" i="1"/>
  <c r="U131" i="1"/>
  <c r="S131" i="1"/>
  <c r="Q131" i="1"/>
  <c r="O131" i="1"/>
  <c r="M131" i="1"/>
  <c r="K131" i="1"/>
  <c r="BE130" i="1"/>
  <c r="AU130" i="1"/>
  <c r="AS130" i="1"/>
  <c r="AQ130" i="1"/>
  <c r="AO130" i="1"/>
  <c r="AM130" i="1"/>
  <c r="AK130" i="1"/>
  <c r="AI130" i="1"/>
  <c r="AG130" i="1"/>
  <c r="AE130" i="1"/>
  <c r="AC130" i="1"/>
  <c r="AA130" i="1"/>
  <c r="Y130" i="1"/>
  <c r="W130" i="1"/>
  <c r="U130" i="1"/>
  <c r="S130" i="1"/>
  <c r="Q130" i="1"/>
  <c r="O130" i="1"/>
  <c r="M130" i="1"/>
  <c r="K130" i="1"/>
  <c r="F130" i="1"/>
  <c r="F131" i="1" s="1"/>
  <c r="BE129" i="1"/>
  <c r="AS129" i="1"/>
  <c r="AQ129" i="1"/>
  <c r="AO129" i="1"/>
  <c r="AM129" i="1"/>
  <c r="AK129" i="1"/>
  <c r="AI129" i="1"/>
  <c r="AG129" i="1"/>
  <c r="AE129" i="1"/>
  <c r="AC129" i="1"/>
  <c r="AA129" i="1"/>
  <c r="Y129" i="1"/>
  <c r="W129" i="1"/>
  <c r="U129" i="1"/>
  <c r="S129" i="1"/>
  <c r="Q129" i="1"/>
  <c r="O129" i="1"/>
  <c r="M129" i="1"/>
  <c r="K129" i="1"/>
  <c r="I129" i="1"/>
  <c r="BE128" i="1"/>
  <c r="AV128" i="1"/>
  <c r="AV130" i="1" s="1"/>
  <c r="AW130" i="1" s="1"/>
  <c r="AT128" i="1"/>
  <c r="AS128" i="1"/>
  <c r="AQ128" i="1"/>
  <c r="AO128" i="1"/>
  <c r="AM128" i="1"/>
  <c r="AK128" i="1"/>
  <c r="AI128" i="1"/>
  <c r="AG128" i="1"/>
  <c r="AE128" i="1"/>
  <c r="AC128" i="1"/>
  <c r="AA128" i="1"/>
  <c r="Y128" i="1"/>
  <c r="W128" i="1"/>
  <c r="U128" i="1"/>
  <c r="S128" i="1"/>
  <c r="Q128" i="1"/>
  <c r="O128" i="1"/>
  <c r="M128" i="1"/>
  <c r="K128" i="1"/>
  <c r="I128" i="1"/>
  <c r="BE127" i="1"/>
  <c r="AX127" i="1"/>
  <c r="AV127" i="1"/>
  <c r="AT127" i="1"/>
  <c r="AS127" i="1"/>
  <c r="AQ127" i="1"/>
  <c r="AO127" i="1"/>
  <c r="AM127" i="1"/>
  <c r="AK127" i="1"/>
  <c r="AI127" i="1"/>
  <c r="AG127" i="1"/>
  <c r="AE127" i="1"/>
  <c r="AC127" i="1"/>
  <c r="AA127" i="1"/>
  <c r="Y127" i="1"/>
  <c r="W127" i="1"/>
  <c r="U127" i="1"/>
  <c r="S127" i="1"/>
  <c r="Q127" i="1"/>
  <c r="O127" i="1"/>
  <c r="M127" i="1"/>
  <c r="K127" i="1"/>
  <c r="I127" i="1"/>
  <c r="BE126" i="1"/>
  <c r="AY126" i="1"/>
  <c r="AY128" i="1" s="1"/>
  <c r="AU126" i="1"/>
  <c r="AW126" i="1" s="1"/>
  <c r="AS126" i="1"/>
  <c r="AQ126" i="1"/>
  <c r="AO126" i="1"/>
  <c r="AM126" i="1"/>
  <c r="AK126" i="1"/>
  <c r="AI126" i="1"/>
  <c r="AG126" i="1"/>
  <c r="AE126" i="1"/>
  <c r="AC126" i="1"/>
  <c r="AA126" i="1"/>
  <c r="Y126" i="1"/>
  <c r="W126" i="1"/>
  <c r="U126" i="1"/>
  <c r="S126" i="1"/>
  <c r="Q126" i="1"/>
  <c r="O126" i="1"/>
  <c r="M126" i="1"/>
  <c r="K126" i="1"/>
  <c r="I126" i="1"/>
  <c r="BF122" i="1"/>
  <c r="BE121" i="1" s="1"/>
  <c r="AX122" i="1"/>
  <c r="AT122" i="1"/>
  <c r="AU122" i="1" s="1"/>
  <c r="AS122" i="1"/>
  <c r="AQ122" i="1"/>
  <c r="AO122" i="1"/>
  <c r="AM122" i="1"/>
  <c r="AK122" i="1"/>
  <c r="AI122" i="1"/>
  <c r="AG122" i="1"/>
  <c r="AE122" i="1"/>
  <c r="AC122" i="1"/>
  <c r="AA122" i="1"/>
  <c r="Y122" i="1"/>
  <c r="W122" i="1"/>
  <c r="U122" i="1"/>
  <c r="S122" i="1"/>
  <c r="Q122" i="1"/>
  <c r="O122" i="1"/>
  <c r="M122" i="1"/>
  <c r="K122" i="1"/>
  <c r="F122" i="1"/>
  <c r="AU121" i="1"/>
  <c r="AS121" i="1"/>
  <c r="AQ121" i="1"/>
  <c r="AO121" i="1"/>
  <c r="AM121" i="1"/>
  <c r="AK121" i="1"/>
  <c r="AI121" i="1"/>
  <c r="AG121" i="1"/>
  <c r="AE121" i="1"/>
  <c r="AC121" i="1"/>
  <c r="AA121" i="1"/>
  <c r="Y121" i="1"/>
  <c r="W121" i="1"/>
  <c r="U121" i="1"/>
  <c r="S121" i="1"/>
  <c r="Q121" i="1"/>
  <c r="O121" i="1"/>
  <c r="M121" i="1"/>
  <c r="K121" i="1"/>
  <c r="F121" i="1"/>
  <c r="AX120" i="1"/>
  <c r="AU120" i="1"/>
  <c r="AT120" i="1"/>
  <c r="AS120" i="1"/>
  <c r="AQ120" i="1"/>
  <c r="AO120" i="1"/>
  <c r="AM120" i="1"/>
  <c r="AK120" i="1"/>
  <c r="AI120" i="1"/>
  <c r="AG120" i="1"/>
  <c r="AE120" i="1"/>
  <c r="AC120" i="1"/>
  <c r="AA120" i="1"/>
  <c r="Y120" i="1"/>
  <c r="W120" i="1"/>
  <c r="U120" i="1"/>
  <c r="S120" i="1"/>
  <c r="Q120" i="1"/>
  <c r="O120" i="1"/>
  <c r="M120" i="1"/>
  <c r="K120" i="1"/>
  <c r="F120" i="1"/>
  <c r="BE119" i="1"/>
  <c r="BE120" i="1" s="1"/>
  <c r="AV119" i="1"/>
  <c r="AV121" i="1" s="1"/>
  <c r="AU119" i="1"/>
  <c r="AS119" i="1"/>
  <c r="AQ119" i="1"/>
  <c r="AO119" i="1"/>
  <c r="AM119" i="1"/>
  <c r="AK119" i="1"/>
  <c r="AI119" i="1"/>
  <c r="AG119" i="1"/>
  <c r="AE119" i="1"/>
  <c r="AC119" i="1"/>
  <c r="AA119" i="1"/>
  <c r="Y119" i="1"/>
  <c r="W119" i="1"/>
  <c r="U119" i="1"/>
  <c r="S119" i="1"/>
  <c r="Q119" i="1"/>
  <c r="O119" i="1"/>
  <c r="M119" i="1"/>
  <c r="K119" i="1"/>
  <c r="AZ118" i="1"/>
  <c r="AX118" i="1"/>
  <c r="AV118" i="1"/>
  <c r="AY118" i="1" s="1"/>
  <c r="AT118" i="1"/>
  <c r="AU118" i="1" s="1"/>
  <c r="AS118" i="1"/>
  <c r="AQ118" i="1"/>
  <c r="AO118" i="1"/>
  <c r="AM118" i="1"/>
  <c r="AK118" i="1"/>
  <c r="AI118" i="1"/>
  <c r="AG118" i="1"/>
  <c r="AE118" i="1"/>
  <c r="AC118" i="1"/>
  <c r="AA118" i="1"/>
  <c r="Y118" i="1"/>
  <c r="W118" i="1"/>
  <c r="U118" i="1"/>
  <c r="S118" i="1"/>
  <c r="Q118" i="1"/>
  <c r="O118" i="1"/>
  <c r="M118" i="1"/>
  <c r="K118" i="1"/>
  <c r="I118" i="1"/>
  <c r="BE117" i="1"/>
  <c r="BE118" i="1" s="1"/>
  <c r="AY117" i="1"/>
  <c r="AZ117" i="1" s="1"/>
  <c r="AU117" i="1"/>
  <c r="AW117" i="1" s="1"/>
  <c r="AS117" i="1"/>
  <c r="AQ117" i="1"/>
  <c r="AO117" i="1"/>
  <c r="AM117" i="1"/>
  <c r="AK117" i="1"/>
  <c r="AI117" i="1"/>
  <c r="AG117" i="1"/>
  <c r="AE117" i="1"/>
  <c r="AC117" i="1"/>
  <c r="AA117" i="1"/>
  <c r="Y117" i="1"/>
  <c r="W117" i="1"/>
  <c r="U117" i="1"/>
  <c r="S117" i="1"/>
  <c r="Q117" i="1"/>
  <c r="O117" i="1"/>
  <c r="M117" i="1"/>
  <c r="K117" i="1"/>
  <c r="I117" i="1"/>
  <c r="BF113" i="1"/>
  <c r="AX113" i="1"/>
  <c r="AT113" i="1"/>
  <c r="AU113" i="1" s="1"/>
  <c r="AS113" i="1"/>
  <c r="AQ113" i="1"/>
  <c r="AO113" i="1"/>
  <c r="AM113" i="1"/>
  <c r="AK113" i="1"/>
  <c r="AI113" i="1"/>
  <c r="AG113" i="1"/>
  <c r="AE113" i="1"/>
  <c r="AC113" i="1"/>
  <c r="AA113" i="1"/>
  <c r="Y113" i="1"/>
  <c r="W113" i="1"/>
  <c r="U113" i="1"/>
  <c r="S113" i="1"/>
  <c r="Q113" i="1"/>
  <c r="O113" i="1"/>
  <c r="M113" i="1"/>
  <c r="K113" i="1"/>
  <c r="I113" i="1"/>
  <c r="AU112" i="1"/>
  <c r="AS112" i="1"/>
  <c r="AQ112" i="1"/>
  <c r="AO112" i="1"/>
  <c r="AM112" i="1"/>
  <c r="AK112" i="1"/>
  <c r="AI112" i="1"/>
  <c r="AG112" i="1"/>
  <c r="AE112" i="1"/>
  <c r="AC112" i="1"/>
  <c r="AA112" i="1"/>
  <c r="Y112" i="1"/>
  <c r="W112" i="1"/>
  <c r="U112" i="1"/>
  <c r="S112" i="1"/>
  <c r="Q112" i="1"/>
  <c r="O112" i="1"/>
  <c r="M112" i="1"/>
  <c r="K112" i="1"/>
  <c r="I112" i="1"/>
  <c r="AX111" i="1"/>
  <c r="AT111" i="1"/>
  <c r="AU111" i="1" s="1"/>
  <c r="AS111" i="1"/>
  <c r="AQ111" i="1"/>
  <c r="AO111" i="1"/>
  <c r="AM111" i="1"/>
  <c r="AK111" i="1"/>
  <c r="AI111" i="1"/>
  <c r="AG111" i="1"/>
  <c r="AE111" i="1"/>
  <c r="AC111" i="1"/>
  <c r="AA111" i="1"/>
  <c r="Y111" i="1"/>
  <c r="W111" i="1"/>
  <c r="U111" i="1"/>
  <c r="S111" i="1"/>
  <c r="Q111" i="1"/>
  <c r="O111" i="1"/>
  <c r="M111" i="1"/>
  <c r="K111" i="1"/>
  <c r="BA111" i="1" s="1"/>
  <c r="F111" i="1"/>
  <c r="BE110" i="1"/>
  <c r="BE111" i="1" s="1"/>
  <c r="AU110" i="1"/>
  <c r="AS110" i="1"/>
  <c r="AQ110" i="1"/>
  <c r="AO110" i="1"/>
  <c r="AM110" i="1"/>
  <c r="AK110" i="1"/>
  <c r="AI110" i="1"/>
  <c r="AG110" i="1"/>
  <c r="AE110" i="1"/>
  <c r="AC110" i="1"/>
  <c r="AA110" i="1"/>
  <c r="Y110" i="1"/>
  <c r="W110" i="1"/>
  <c r="U110" i="1"/>
  <c r="S110" i="1"/>
  <c r="Q110" i="1"/>
  <c r="O110" i="1"/>
  <c r="M110" i="1"/>
  <c r="K110" i="1"/>
  <c r="F110" i="1"/>
  <c r="BE109" i="1"/>
  <c r="AX109" i="1"/>
  <c r="AU109" i="1"/>
  <c r="AT109" i="1"/>
  <c r="AS109" i="1"/>
  <c r="AQ109" i="1"/>
  <c r="AO109" i="1"/>
  <c r="AM109" i="1"/>
  <c r="AK109" i="1"/>
  <c r="AI109" i="1"/>
  <c r="AG109" i="1"/>
  <c r="AE109" i="1"/>
  <c r="AC109" i="1"/>
  <c r="AA109" i="1"/>
  <c r="Y109" i="1"/>
  <c r="W109" i="1"/>
  <c r="U109" i="1"/>
  <c r="S109" i="1"/>
  <c r="Q109" i="1"/>
  <c r="O109" i="1"/>
  <c r="M109" i="1"/>
  <c r="K109" i="1"/>
  <c r="I109" i="1"/>
  <c r="BE108" i="1"/>
  <c r="AU108" i="1"/>
  <c r="AS108" i="1"/>
  <c r="AQ108" i="1"/>
  <c r="AO108" i="1"/>
  <c r="AM108" i="1"/>
  <c r="AK108" i="1"/>
  <c r="AI108" i="1"/>
  <c r="AG108" i="1"/>
  <c r="AE108" i="1"/>
  <c r="AC108" i="1"/>
  <c r="AA108" i="1"/>
  <c r="Y108" i="1"/>
  <c r="W108" i="1"/>
  <c r="U108" i="1"/>
  <c r="S108" i="1"/>
  <c r="Q108" i="1"/>
  <c r="O108" i="1"/>
  <c r="M108" i="1"/>
  <c r="K108" i="1"/>
  <c r="I108" i="1"/>
  <c r="AX107" i="1"/>
  <c r="AT107" i="1"/>
  <c r="AU107" i="1" s="1"/>
  <c r="AS107" i="1"/>
  <c r="AQ107" i="1"/>
  <c r="AO107" i="1"/>
  <c r="BA107" i="1" s="1"/>
  <c r="AM107" i="1"/>
  <c r="AK107" i="1"/>
  <c r="AI107" i="1"/>
  <c r="AG107" i="1"/>
  <c r="AE107" i="1"/>
  <c r="AC107" i="1"/>
  <c r="AA107" i="1"/>
  <c r="Y107" i="1"/>
  <c r="W107" i="1"/>
  <c r="U107" i="1"/>
  <c r="S107" i="1"/>
  <c r="Q107" i="1"/>
  <c r="O107" i="1"/>
  <c r="M107" i="1"/>
  <c r="K107" i="1"/>
  <c r="I107" i="1"/>
  <c r="BE106" i="1"/>
  <c r="BE107" i="1" s="1"/>
  <c r="AU106" i="1"/>
  <c r="AS106" i="1"/>
  <c r="AQ106" i="1"/>
  <c r="AO106" i="1"/>
  <c r="AM106" i="1"/>
  <c r="AK106" i="1"/>
  <c r="AI106" i="1"/>
  <c r="AG106" i="1"/>
  <c r="AE106" i="1"/>
  <c r="AC106" i="1"/>
  <c r="AA106" i="1"/>
  <c r="Y106" i="1"/>
  <c r="W106" i="1"/>
  <c r="U106" i="1"/>
  <c r="S106" i="1"/>
  <c r="Q106" i="1"/>
  <c r="O106" i="1"/>
  <c r="M106" i="1"/>
  <c r="K106" i="1"/>
  <c r="I106" i="1"/>
  <c r="AX105" i="1"/>
  <c r="AU105" i="1"/>
  <c r="AT105" i="1"/>
  <c r="AS105" i="1"/>
  <c r="AQ105" i="1"/>
  <c r="AO105" i="1"/>
  <c r="AM105" i="1"/>
  <c r="AK105" i="1"/>
  <c r="AI105" i="1"/>
  <c r="AG105" i="1"/>
  <c r="AE105" i="1"/>
  <c r="AC105" i="1"/>
  <c r="AA105" i="1"/>
  <c r="Y105" i="1"/>
  <c r="W105" i="1"/>
  <c r="U105" i="1"/>
  <c r="S105" i="1"/>
  <c r="Q105" i="1"/>
  <c r="O105" i="1"/>
  <c r="M105" i="1"/>
  <c r="K105" i="1"/>
  <c r="I105" i="1"/>
  <c r="BE104" i="1"/>
  <c r="AV104" i="1"/>
  <c r="AY104" i="1" s="1"/>
  <c r="AU104" i="1"/>
  <c r="AS104" i="1"/>
  <c r="AQ104" i="1"/>
  <c r="AO104" i="1"/>
  <c r="AM104" i="1"/>
  <c r="AK104" i="1"/>
  <c r="AI104" i="1"/>
  <c r="AG104" i="1"/>
  <c r="AE104" i="1"/>
  <c r="AC104" i="1"/>
  <c r="AA104" i="1"/>
  <c r="Y104" i="1"/>
  <c r="W104" i="1"/>
  <c r="U104" i="1"/>
  <c r="S104" i="1"/>
  <c r="Q104" i="1"/>
  <c r="O104" i="1"/>
  <c r="M104" i="1"/>
  <c r="K104" i="1"/>
  <c r="I104" i="1"/>
  <c r="AX103" i="1"/>
  <c r="AV103" i="1"/>
  <c r="AT103" i="1"/>
  <c r="AU103" i="1" s="1"/>
  <c r="AW103" i="1" s="1"/>
  <c r="AS103" i="1"/>
  <c r="AQ103" i="1"/>
  <c r="AO103" i="1"/>
  <c r="AM103" i="1"/>
  <c r="AK103" i="1"/>
  <c r="AI103" i="1"/>
  <c r="AG103" i="1"/>
  <c r="AE103" i="1"/>
  <c r="AC103" i="1"/>
  <c r="AA103" i="1"/>
  <c r="Y103" i="1"/>
  <c r="W103" i="1"/>
  <c r="U103" i="1"/>
  <c r="S103" i="1"/>
  <c r="Q103" i="1"/>
  <c r="O103" i="1"/>
  <c r="M103" i="1"/>
  <c r="K103" i="1"/>
  <c r="I103" i="1"/>
  <c r="BE102" i="1"/>
  <c r="BE103" i="1" s="1"/>
  <c r="AY102" i="1"/>
  <c r="AZ102" i="1" s="1"/>
  <c r="AW102" i="1"/>
  <c r="AU102" i="1"/>
  <c r="AS102" i="1"/>
  <c r="AQ102" i="1"/>
  <c r="AO102" i="1"/>
  <c r="AM102" i="1"/>
  <c r="AK102" i="1"/>
  <c r="AI102" i="1"/>
  <c r="AG102" i="1"/>
  <c r="AE102" i="1"/>
  <c r="AC102" i="1"/>
  <c r="AA102" i="1"/>
  <c r="Y102" i="1"/>
  <c r="W102" i="1"/>
  <c r="U102" i="1"/>
  <c r="S102" i="1"/>
  <c r="Q102" i="1"/>
  <c r="O102" i="1"/>
  <c r="M102" i="1"/>
  <c r="K102" i="1"/>
  <c r="I102" i="1"/>
  <c r="C102" i="1"/>
  <c r="BF97" i="1"/>
  <c r="BE81" i="1" s="1"/>
  <c r="AX97" i="1"/>
  <c r="AU97" i="1"/>
  <c r="AT97" i="1"/>
  <c r="AS97" i="1"/>
  <c r="AQ97" i="1"/>
  <c r="AO97" i="1"/>
  <c r="AM97" i="1"/>
  <c r="AK97" i="1"/>
  <c r="AI97" i="1"/>
  <c r="AG97" i="1"/>
  <c r="AE97" i="1"/>
  <c r="AC97" i="1"/>
  <c r="AA97" i="1"/>
  <c r="Y97" i="1"/>
  <c r="W97" i="1"/>
  <c r="U97" i="1"/>
  <c r="S97" i="1"/>
  <c r="Q97" i="1"/>
  <c r="O97" i="1"/>
  <c r="M97" i="1"/>
  <c r="K97" i="1"/>
  <c r="I97" i="1"/>
  <c r="AU96" i="1"/>
  <c r="AS96" i="1"/>
  <c r="AQ96" i="1"/>
  <c r="AO96" i="1"/>
  <c r="AM96" i="1"/>
  <c r="AK96" i="1"/>
  <c r="AI96" i="1"/>
  <c r="AG96" i="1"/>
  <c r="AE96" i="1"/>
  <c r="AC96" i="1"/>
  <c r="AA96" i="1"/>
  <c r="Y96" i="1"/>
  <c r="W96" i="1"/>
  <c r="U96" i="1"/>
  <c r="S96" i="1"/>
  <c r="Q96" i="1"/>
  <c r="O96" i="1"/>
  <c r="M96" i="1"/>
  <c r="K96" i="1"/>
  <c r="I96" i="1"/>
  <c r="AX95" i="1"/>
  <c r="AU95" i="1"/>
  <c r="AT95" i="1"/>
  <c r="AS95" i="1"/>
  <c r="AQ95" i="1"/>
  <c r="AO95" i="1"/>
  <c r="AM95" i="1"/>
  <c r="AK95" i="1"/>
  <c r="AI95" i="1"/>
  <c r="AG95" i="1"/>
  <c r="AE95" i="1"/>
  <c r="AC95" i="1"/>
  <c r="AA95" i="1"/>
  <c r="Y95" i="1"/>
  <c r="W95" i="1"/>
  <c r="U95" i="1"/>
  <c r="S95" i="1"/>
  <c r="Q95" i="1"/>
  <c r="O95" i="1"/>
  <c r="M95" i="1"/>
  <c r="K95" i="1"/>
  <c r="BE94" i="1"/>
  <c r="AU94" i="1"/>
  <c r="AS94" i="1"/>
  <c r="AQ94" i="1"/>
  <c r="AO94" i="1"/>
  <c r="AM94" i="1"/>
  <c r="AK94" i="1"/>
  <c r="AI94" i="1"/>
  <c r="AG94" i="1"/>
  <c r="AE94" i="1"/>
  <c r="AC94" i="1"/>
  <c r="AA94" i="1"/>
  <c r="Y94" i="1"/>
  <c r="W94" i="1"/>
  <c r="U94" i="1"/>
  <c r="S94" i="1"/>
  <c r="Q94" i="1"/>
  <c r="O94" i="1"/>
  <c r="M94" i="1"/>
  <c r="K94" i="1"/>
  <c r="F94" i="1"/>
  <c r="F95" i="1" s="1"/>
  <c r="AX93" i="1"/>
  <c r="AT93" i="1"/>
  <c r="AU93" i="1" s="1"/>
  <c r="AS93" i="1"/>
  <c r="AQ93" i="1"/>
  <c r="AO93" i="1"/>
  <c r="AM93" i="1"/>
  <c r="AK93" i="1"/>
  <c r="AI93" i="1"/>
  <c r="AG93" i="1"/>
  <c r="AE93" i="1"/>
  <c r="AC93" i="1"/>
  <c r="AA93" i="1"/>
  <c r="Y93" i="1"/>
  <c r="W93" i="1"/>
  <c r="U93" i="1"/>
  <c r="S93" i="1"/>
  <c r="Q93" i="1"/>
  <c r="O93" i="1"/>
  <c r="M93" i="1"/>
  <c r="K93" i="1"/>
  <c r="I93" i="1"/>
  <c r="BE92" i="1"/>
  <c r="AU92" i="1"/>
  <c r="AS92" i="1"/>
  <c r="AQ92" i="1"/>
  <c r="AO92" i="1"/>
  <c r="AM92" i="1"/>
  <c r="AK92" i="1"/>
  <c r="AI92" i="1"/>
  <c r="AG92" i="1"/>
  <c r="AE92" i="1"/>
  <c r="AC92" i="1"/>
  <c r="AA92" i="1"/>
  <c r="Y92" i="1"/>
  <c r="W92" i="1"/>
  <c r="U92" i="1"/>
  <c r="S92" i="1"/>
  <c r="Q92" i="1"/>
  <c r="O92" i="1"/>
  <c r="M92" i="1"/>
  <c r="K92" i="1"/>
  <c r="I92" i="1"/>
  <c r="AX91" i="1"/>
  <c r="AT91" i="1"/>
  <c r="AU91" i="1" s="1"/>
  <c r="AS91" i="1"/>
  <c r="AQ91" i="1"/>
  <c r="AO91" i="1"/>
  <c r="AM91" i="1"/>
  <c r="AK91" i="1"/>
  <c r="AI91" i="1"/>
  <c r="AG91" i="1"/>
  <c r="AE91" i="1"/>
  <c r="AC91" i="1"/>
  <c r="AA91" i="1"/>
  <c r="Y91" i="1"/>
  <c r="W91" i="1"/>
  <c r="U91" i="1"/>
  <c r="S91" i="1"/>
  <c r="Q91" i="1"/>
  <c r="O91" i="1"/>
  <c r="BA91" i="1" s="1"/>
  <c r="M91" i="1"/>
  <c r="K91" i="1"/>
  <c r="I91" i="1"/>
  <c r="BE90" i="1"/>
  <c r="AU90" i="1"/>
  <c r="AS90" i="1"/>
  <c r="AQ90" i="1"/>
  <c r="AO90" i="1"/>
  <c r="AM90" i="1"/>
  <c r="AK90" i="1"/>
  <c r="AI90" i="1"/>
  <c r="AG90" i="1"/>
  <c r="AE90" i="1"/>
  <c r="AC90" i="1"/>
  <c r="AA90" i="1"/>
  <c r="Y90" i="1"/>
  <c r="W90" i="1"/>
  <c r="U90" i="1"/>
  <c r="S90" i="1"/>
  <c r="Q90" i="1"/>
  <c r="O90" i="1"/>
  <c r="M90" i="1"/>
  <c r="K90" i="1"/>
  <c r="I90" i="1"/>
  <c r="AX89" i="1"/>
  <c r="AT89" i="1"/>
  <c r="AU89" i="1" s="1"/>
  <c r="AS89" i="1"/>
  <c r="AQ89" i="1"/>
  <c r="AO89" i="1"/>
  <c r="AM89" i="1"/>
  <c r="AK89" i="1"/>
  <c r="AI89" i="1"/>
  <c r="AG89" i="1"/>
  <c r="AE89" i="1"/>
  <c r="AC89" i="1"/>
  <c r="AA89" i="1"/>
  <c r="Y89" i="1"/>
  <c r="W89" i="1"/>
  <c r="U89" i="1"/>
  <c r="S89" i="1"/>
  <c r="Q89" i="1"/>
  <c r="O89" i="1"/>
  <c r="M89" i="1"/>
  <c r="K89" i="1"/>
  <c r="I89" i="1"/>
  <c r="BE88" i="1"/>
  <c r="AU88" i="1"/>
  <c r="AS88" i="1"/>
  <c r="AQ88" i="1"/>
  <c r="AO88" i="1"/>
  <c r="AM88" i="1"/>
  <c r="AK88" i="1"/>
  <c r="AI88" i="1"/>
  <c r="AG88" i="1"/>
  <c r="AE88" i="1"/>
  <c r="AC88" i="1"/>
  <c r="AA88" i="1"/>
  <c r="Y88" i="1"/>
  <c r="W88" i="1"/>
  <c r="U88" i="1"/>
  <c r="S88" i="1"/>
  <c r="Q88" i="1"/>
  <c r="O88" i="1"/>
  <c r="M88" i="1"/>
  <c r="K88" i="1"/>
  <c r="I88" i="1"/>
  <c r="AX87" i="1"/>
  <c r="AT87" i="1"/>
  <c r="AU87" i="1" s="1"/>
  <c r="AS87" i="1"/>
  <c r="AQ87" i="1"/>
  <c r="AO87" i="1"/>
  <c r="AM87" i="1"/>
  <c r="AK87" i="1"/>
  <c r="AI87" i="1"/>
  <c r="AG87" i="1"/>
  <c r="AE87" i="1"/>
  <c r="AC87" i="1"/>
  <c r="AA87" i="1"/>
  <c r="Y87" i="1"/>
  <c r="W87" i="1"/>
  <c r="U87" i="1"/>
  <c r="S87" i="1"/>
  <c r="Q87" i="1"/>
  <c r="O87" i="1"/>
  <c r="M87" i="1"/>
  <c r="K87" i="1"/>
  <c r="I87" i="1"/>
  <c r="BE86" i="1"/>
  <c r="AV86" i="1"/>
  <c r="AU86" i="1"/>
  <c r="AS86" i="1"/>
  <c r="AQ86" i="1"/>
  <c r="AO86" i="1"/>
  <c r="AM86" i="1"/>
  <c r="AK86" i="1"/>
  <c r="AI86" i="1"/>
  <c r="AG86" i="1"/>
  <c r="AE86" i="1"/>
  <c r="AC86" i="1"/>
  <c r="AA86" i="1"/>
  <c r="Y86" i="1"/>
  <c r="W86" i="1"/>
  <c r="U86" i="1"/>
  <c r="S86" i="1"/>
  <c r="Q86" i="1"/>
  <c r="O86" i="1"/>
  <c r="M86" i="1"/>
  <c r="K86" i="1"/>
  <c r="I86" i="1"/>
  <c r="AX82" i="1"/>
  <c r="AT82" i="1"/>
  <c r="AU82" i="1" s="1"/>
  <c r="AS82" i="1"/>
  <c r="AQ82" i="1"/>
  <c r="AO82" i="1"/>
  <c r="AM82" i="1"/>
  <c r="AK82" i="1"/>
  <c r="AI82" i="1"/>
  <c r="AG82" i="1"/>
  <c r="AE82" i="1"/>
  <c r="AC82" i="1"/>
  <c r="AA82" i="1"/>
  <c r="Y82" i="1"/>
  <c r="W82" i="1"/>
  <c r="U82" i="1"/>
  <c r="S82" i="1"/>
  <c r="Q82" i="1"/>
  <c r="O82" i="1"/>
  <c r="M82" i="1"/>
  <c r="K82" i="1"/>
  <c r="I82" i="1"/>
  <c r="AU81" i="1"/>
  <c r="AS81" i="1"/>
  <c r="AQ81" i="1"/>
  <c r="AO81" i="1"/>
  <c r="AM81" i="1"/>
  <c r="AK81" i="1"/>
  <c r="AI81" i="1"/>
  <c r="AG81" i="1"/>
  <c r="AE81" i="1"/>
  <c r="AC81" i="1"/>
  <c r="AA81" i="1"/>
  <c r="Y81" i="1"/>
  <c r="W81" i="1"/>
  <c r="U81" i="1"/>
  <c r="S81" i="1"/>
  <c r="Q81" i="1"/>
  <c r="O81" i="1"/>
  <c r="M81" i="1"/>
  <c r="K81" i="1"/>
  <c r="I81" i="1"/>
  <c r="BE80" i="1"/>
  <c r="AX80" i="1"/>
  <c r="AT80" i="1"/>
  <c r="AU80" i="1" s="1"/>
  <c r="AS80" i="1"/>
  <c r="AQ80" i="1"/>
  <c r="AO80" i="1"/>
  <c r="AM80" i="1"/>
  <c r="AK80" i="1"/>
  <c r="AI80" i="1"/>
  <c r="AG80" i="1"/>
  <c r="AE80" i="1"/>
  <c r="AC80" i="1"/>
  <c r="AA80" i="1"/>
  <c r="Y80" i="1"/>
  <c r="W80" i="1"/>
  <c r="U80" i="1"/>
  <c r="S80" i="1"/>
  <c r="Q80" i="1"/>
  <c r="O80" i="1"/>
  <c r="M80" i="1"/>
  <c r="K80" i="1"/>
  <c r="F80" i="1"/>
  <c r="BE79" i="1"/>
  <c r="AU79" i="1"/>
  <c r="AS79" i="1"/>
  <c r="AQ79" i="1"/>
  <c r="AO79" i="1"/>
  <c r="BA79" i="1" s="1"/>
  <c r="AM79" i="1"/>
  <c r="AK79" i="1"/>
  <c r="AI79" i="1"/>
  <c r="AG79" i="1"/>
  <c r="AE79" i="1"/>
  <c r="AC79" i="1"/>
  <c r="AA79" i="1"/>
  <c r="Y79" i="1"/>
  <c r="W79" i="1"/>
  <c r="U79" i="1"/>
  <c r="S79" i="1"/>
  <c r="Q79" i="1"/>
  <c r="O79" i="1"/>
  <c r="M79" i="1"/>
  <c r="K79" i="1"/>
  <c r="BE78" i="1"/>
  <c r="AX78" i="1"/>
  <c r="AT78" i="1"/>
  <c r="AU78" i="1" s="1"/>
  <c r="AS78" i="1"/>
  <c r="AQ78" i="1"/>
  <c r="AO78" i="1"/>
  <c r="AM78" i="1"/>
  <c r="AK78" i="1"/>
  <c r="AI78" i="1"/>
  <c r="AG78" i="1"/>
  <c r="AE78" i="1"/>
  <c r="AC78" i="1"/>
  <c r="AA78" i="1"/>
  <c r="Y78" i="1"/>
  <c r="W78" i="1"/>
  <c r="U78" i="1"/>
  <c r="S78" i="1"/>
  <c r="Q78" i="1"/>
  <c r="O78" i="1"/>
  <c r="M78" i="1"/>
  <c r="K78" i="1"/>
  <c r="BA78" i="1" s="1"/>
  <c r="I78" i="1"/>
  <c r="BE77" i="1"/>
  <c r="AU77" i="1"/>
  <c r="AS77" i="1"/>
  <c r="AQ77" i="1"/>
  <c r="AO77" i="1"/>
  <c r="AM77" i="1"/>
  <c r="AK77" i="1"/>
  <c r="AI77" i="1"/>
  <c r="AG77" i="1"/>
  <c r="AE77" i="1"/>
  <c r="AC77" i="1"/>
  <c r="AA77" i="1"/>
  <c r="Y77" i="1"/>
  <c r="W77" i="1"/>
  <c r="U77" i="1"/>
  <c r="S77" i="1"/>
  <c r="Q77" i="1"/>
  <c r="O77" i="1"/>
  <c r="M77" i="1"/>
  <c r="K77" i="1"/>
  <c r="I77" i="1"/>
  <c r="BE76" i="1"/>
  <c r="AX76" i="1"/>
  <c r="AT76" i="1"/>
  <c r="AU76" i="1" s="1"/>
  <c r="AS76" i="1"/>
  <c r="AQ76" i="1"/>
  <c r="AO76" i="1"/>
  <c r="AM76" i="1"/>
  <c r="AK76" i="1"/>
  <c r="AI76" i="1"/>
  <c r="AG76" i="1"/>
  <c r="AE76" i="1"/>
  <c r="AC76" i="1"/>
  <c r="AA76" i="1"/>
  <c r="Y76" i="1"/>
  <c r="W76" i="1"/>
  <c r="U76" i="1"/>
  <c r="S76" i="1"/>
  <c r="Q76" i="1"/>
  <c r="O76" i="1"/>
  <c r="M76" i="1"/>
  <c r="K76" i="1"/>
  <c r="I76" i="1"/>
  <c r="BE75" i="1"/>
  <c r="AU75" i="1"/>
  <c r="AS75" i="1"/>
  <c r="AQ75" i="1"/>
  <c r="AO75" i="1"/>
  <c r="AM75" i="1"/>
  <c r="AK75" i="1"/>
  <c r="AI75" i="1"/>
  <c r="AG75" i="1"/>
  <c r="AE75" i="1"/>
  <c r="AC75" i="1"/>
  <c r="AA75" i="1"/>
  <c r="Y75" i="1"/>
  <c r="W75" i="1"/>
  <c r="U75" i="1"/>
  <c r="S75" i="1"/>
  <c r="Q75" i="1"/>
  <c r="O75" i="1"/>
  <c r="M75" i="1"/>
  <c r="K75" i="1"/>
  <c r="I75" i="1"/>
  <c r="BE74" i="1"/>
  <c r="AX74" i="1"/>
  <c r="AT74" i="1"/>
  <c r="AU74" i="1" s="1"/>
  <c r="AS74" i="1"/>
  <c r="AQ74" i="1"/>
  <c r="AO74" i="1"/>
  <c r="AM74" i="1"/>
  <c r="AK74" i="1"/>
  <c r="AI74" i="1"/>
  <c r="AG74" i="1"/>
  <c r="AE74" i="1"/>
  <c r="AC74" i="1"/>
  <c r="AA74" i="1"/>
  <c r="Y74" i="1"/>
  <c r="W74" i="1"/>
  <c r="U74" i="1"/>
  <c r="S74" i="1"/>
  <c r="Q74" i="1"/>
  <c r="O74" i="1"/>
  <c r="M74" i="1"/>
  <c r="K74" i="1"/>
  <c r="I74" i="1"/>
  <c r="BE73" i="1"/>
  <c r="AU73" i="1"/>
  <c r="AS73" i="1"/>
  <c r="AQ73" i="1"/>
  <c r="AO73" i="1"/>
  <c r="AM73" i="1"/>
  <c r="AK73" i="1"/>
  <c r="AI73" i="1"/>
  <c r="AG73" i="1"/>
  <c r="AE73" i="1"/>
  <c r="AC73" i="1"/>
  <c r="AA73" i="1"/>
  <c r="Y73" i="1"/>
  <c r="W73" i="1"/>
  <c r="U73" i="1"/>
  <c r="S73" i="1"/>
  <c r="Q73" i="1"/>
  <c r="O73" i="1"/>
  <c r="M73" i="1"/>
  <c r="K73" i="1"/>
  <c r="I73" i="1"/>
  <c r="BE72" i="1"/>
  <c r="AX72" i="1"/>
  <c r="AV72" i="1"/>
  <c r="AY72" i="1" s="1"/>
  <c r="AT72" i="1"/>
  <c r="AU72" i="1" s="1"/>
  <c r="AS72" i="1"/>
  <c r="AQ72" i="1"/>
  <c r="AO72" i="1"/>
  <c r="AM72" i="1"/>
  <c r="AK72" i="1"/>
  <c r="AI72" i="1"/>
  <c r="AG72" i="1"/>
  <c r="AE72" i="1"/>
  <c r="AC72" i="1"/>
  <c r="AA72" i="1"/>
  <c r="Y72" i="1"/>
  <c r="W72" i="1"/>
  <c r="U72" i="1"/>
  <c r="S72" i="1"/>
  <c r="Q72" i="1"/>
  <c r="O72" i="1"/>
  <c r="M72" i="1"/>
  <c r="K72" i="1"/>
  <c r="BA72" i="1" s="1"/>
  <c r="I72" i="1"/>
  <c r="BE71" i="1"/>
  <c r="BE83" i="1" s="1"/>
  <c r="AY71" i="1"/>
  <c r="AU71" i="1"/>
  <c r="AW71" i="1" s="1"/>
  <c r="AS71" i="1"/>
  <c r="AQ71" i="1"/>
  <c r="AO71" i="1"/>
  <c r="AM71" i="1"/>
  <c r="AK71" i="1"/>
  <c r="AI71" i="1"/>
  <c r="AG71" i="1"/>
  <c r="AE71" i="1"/>
  <c r="AC71" i="1"/>
  <c r="AA71" i="1"/>
  <c r="Y71" i="1"/>
  <c r="W71" i="1"/>
  <c r="U71" i="1"/>
  <c r="S71" i="1"/>
  <c r="Q71" i="1"/>
  <c r="O71" i="1"/>
  <c r="M71" i="1"/>
  <c r="K71" i="1"/>
  <c r="I71" i="1"/>
  <c r="E67" i="1"/>
  <c r="BF66" i="1"/>
  <c r="BE50" i="1" s="1"/>
  <c r="AX66" i="1"/>
  <c r="AT66" i="1"/>
  <c r="AU66" i="1" s="1"/>
  <c r="AS66" i="1"/>
  <c r="AQ66" i="1"/>
  <c r="AO66" i="1"/>
  <c r="AM66" i="1"/>
  <c r="AK66" i="1"/>
  <c r="AI66" i="1"/>
  <c r="AG66" i="1"/>
  <c r="AE66" i="1"/>
  <c r="AC66" i="1"/>
  <c r="AA66" i="1"/>
  <c r="Y66" i="1"/>
  <c r="W66" i="1"/>
  <c r="U66" i="1"/>
  <c r="S66" i="1"/>
  <c r="Q66" i="1"/>
  <c r="O66" i="1"/>
  <c r="M66" i="1"/>
  <c r="K66" i="1"/>
  <c r="I66" i="1"/>
  <c r="BE65" i="1"/>
  <c r="AU65" i="1"/>
  <c r="AS65" i="1"/>
  <c r="AQ65" i="1"/>
  <c r="AO65" i="1"/>
  <c r="AM65" i="1"/>
  <c r="AK65" i="1"/>
  <c r="AI65" i="1"/>
  <c r="AG65" i="1"/>
  <c r="AE65" i="1"/>
  <c r="AC65" i="1"/>
  <c r="AA65" i="1"/>
  <c r="Y65" i="1"/>
  <c r="W65" i="1"/>
  <c r="U65" i="1"/>
  <c r="S65" i="1"/>
  <c r="Q65" i="1"/>
  <c r="O65" i="1"/>
  <c r="M65" i="1"/>
  <c r="K65" i="1"/>
  <c r="I65" i="1"/>
  <c r="AX64" i="1"/>
  <c r="AT64" i="1"/>
  <c r="AU64" i="1" s="1"/>
  <c r="AS64" i="1"/>
  <c r="AQ64" i="1"/>
  <c r="AO64" i="1"/>
  <c r="AM64" i="1"/>
  <c r="AK64" i="1"/>
  <c r="AI64" i="1"/>
  <c r="AG64" i="1"/>
  <c r="AE64" i="1"/>
  <c r="AC64" i="1"/>
  <c r="AA64" i="1"/>
  <c r="Y64" i="1"/>
  <c r="W64" i="1"/>
  <c r="U64" i="1"/>
  <c r="S64" i="1"/>
  <c r="Q64" i="1"/>
  <c r="O64" i="1"/>
  <c r="M64" i="1"/>
  <c r="K64" i="1"/>
  <c r="I64" i="1"/>
  <c r="BE63" i="1"/>
  <c r="AU63" i="1"/>
  <c r="AS63" i="1"/>
  <c r="AQ63" i="1"/>
  <c r="AO63" i="1"/>
  <c r="AM63" i="1"/>
  <c r="AK63" i="1"/>
  <c r="AI63" i="1"/>
  <c r="AG63" i="1"/>
  <c r="AE63" i="1"/>
  <c r="AC63" i="1"/>
  <c r="AA63" i="1"/>
  <c r="Y63" i="1"/>
  <c r="W63" i="1"/>
  <c r="U63" i="1"/>
  <c r="S63" i="1"/>
  <c r="Q63" i="1"/>
  <c r="O63" i="1"/>
  <c r="M63" i="1"/>
  <c r="K63" i="1"/>
  <c r="I63" i="1"/>
  <c r="AX62" i="1"/>
  <c r="AT62" i="1"/>
  <c r="AU62" i="1" s="1"/>
  <c r="AS62" i="1"/>
  <c r="AQ62" i="1"/>
  <c r="AO62" i="1"/>
  <c r="AM62" i="1"/>
  <c r="AK62" i="1"/>
  <c r="AI62" i="1"/>
  <c r="AG62" i="1"/>
  <c r="AE62" i="1"/>
  <c r="AC62" i="1"/>
  <c r="AA62" i="1"/>
  <c r="Y62" i="1"/>
  <c r="W62" i="1"/>
  <c r="U62" i="1"/>
  <c r="S62" i="1"/>
  <c r="Q62" i="1"/>
  <c r="O62" i="1"/>
  <c r="M62" i="1"/>
  <c r="K62" i="1"/>
  <c r="I62" i="1"/>
  <c r="BE61" i="1"/>
  <c r="BE62" i="1" s="1"/>
  <c r="AU61" i="1"/>
  <c r="AS61" i="1"/>
  <c r="AQ61" i="1"/>
  <c r="AO61" i="1"/>
  <c r="AM61" i="1"/>
  <c r="AK61" i="1"/>
  <c r="AI61" i="1"/>
  <c r="AG61" i="1"/>
  <c r="AE61" i="1"/>
  <c r="AC61" i="1"/>
  <c r="AA61" i="1"/>
  <c r="Y61" i="1"/>
  <c r="W61" i="1"/>
  <c r="U61" i="1"/>
  <c r="S61" i="1"/>
  <c r="Q61" i="1"/>
  <c r="O61" i="1"/>
  <c r="M61" i="1"/>
  <c r="K61" i="1"/>
  <c r="I61" i="1"/>
  <c r="BE60" i="1"/>
  <c r="AX60" i="1"/>
  <c r="AT60" i="1"/>
  <c r="AU60" i="1" s="1"/>
  <c r="AS60" i="1"/>
  <c r="AQ60" i="1"/>
  <c r="AO60" i="1"/>
  <c r="BA60" i="1" s="1"/>
  <c r="AM60" i="1"/>
  <c r="AK60" i="1"/>
  <c r="AI60" i="1"/>
  <c r="AG60" i="1"/>
  <c r="AE60" i="1"/>
  <c r="AC60" i="1"/>
  <c r="AA60" i="1"/>
  <c r="Y60" i="1"/>
  <c r="W60" i="1"/>
  <c r="U60" i="1"/>
  <c r="S60" i="1"/>
  <c r="Q60" i="1"/>
  <c r="O60" i="1"/>
  <c r="M60" i="1"/>
  <c r="K60" i="1"/>
  <c r="I60" i="1"/>
  <c r="BE59" i="1"/>
  <c r="AV59" i="1"/>
  <c r="AU59" i="1"/>
  <c r="AS59" i="1"/>
  <c r="AQ59" i="1"/>
  <c r="AO59" i="1"/>
  <c r="BA59" i="1" s="1"/>
  <c r="AM59" i="1"/>
  <c r="AK59" i="1"/>
  <c r="AI59" i="1"/>
  <c r="AG59" i="1"/>
  <c r="AE59" i="1"/>
  <c r="AC59" i="1"/>
  <c r="AA59" i="1"/>
  <c r="Y59" i="1"/>
  <c r="W59" i="1"/>
  <c r="U59" i="1"/>
  <c r="S59" i="1"/>
  <c r="Q59" i="1"/>
  <c r="O59" i="1"/>
  <c r="M59" i="1"/>
  <c r="K59" i="1"/>
  <c r="I59" i="1"/>
  <c r="AX58" i="1"/>
  <c r="AT58" i="1"/>
  <c r="AU58" i="1" s="1"/>
  <c r="AS58" i="1"/>
  <c r="AQ58" i="1"/>
  <c r="AO58" i="1"/>
  <c r="BA58" i="1" s="1"/>
  <c r="AM58" i="1"/>
  <c r="AK58" i="1"/>
  <c r="AI58" i="1"/>
  <c r="AG58" i="1"/>
  <c r="AE58" i="1"/>
  <c r="AC58" i="1"/>
  <c r="AA58" i="1"/>
  <c r="Y58" i="1"/>
  <c r="W58" i="1"/>
  <c r="U58" i="1"/>
  <c r="S58" i="1"/>
  <c r="Q58" i="1"/>
  <c r="O58" i="1"/>
  <c r="M58" i="1"/>
  <c r="K58" i="1"/>
  <c r="I58" i="1"/>
  <c r="E58" i="1"/>
  <c r="E74" i="1" s="1"/>
  <c r="E89" i="1" s="1"/>
  <c r="E105" i="1" s="1"/>
  <c r="E129" i="1" s="1"/>
  <c r="E140" i="1" s="1"/>
  <c r="BE57" i="1"/>
  <c r="AU57" i="1"/>
  <c r="AS57" i="1"/>
  <c r="AQ57" i="1"/>
  <c r="AO57" i="1"/>
  <c r="AM57" i="1"/>
  <c r="AK57" i="1"/>
  <c r="AI57" i="1"/>
  <c r="AG57" i="1"/>
  <c r="AE57" i="1"/>
  <c r="AC57" i="1"/>
  <c r="AA57" i="1"/>
  <c r="Y57" i="1"/>
  <c r="W57" i="1"/>
  <c r="U57" i="1"/>
  <c r="S57" i="1"/>
  <c r="Q57" i="1"/>
  <c r="O57" i="1"/>
  <c r="M57" i="1"/>
  <c r="K57" i="1"/>
  <c r="I57" i="1"/>
  <c r="AX56" i="1"/>
  <c r="AT56" i="1"/>
  <c r="AU56" i="1" s="1"/>
  <c r="AS56" i="1"/>
  <c r="AQ56" i="1"/>
  <c r="AO56" i="1"/>
  <c r="BA56" i="1" s="1"/>
  <c r="AM56" i="1"/>
  <c r="AK56" i="1"/>
  <c r="AI56" i="1"/>
  <c r="AG56" i="1"/>
  <c r="AE56" i="1"/>
  <c r="AC56" i="1"/>
  <c r="AA56" i="1"/>
  <c r="Y56" i="1"/>
  <c r="W56" i="1"/>
  <c r="U56" i="1"/>
  <c r="S56" i="1"/>
  <c r="Q56" i="1"/>
  <c r="O56" i="1"/>
  <c r="M56" i="1"/>
  <c r="K56" i="1"/>
  <c r="I56" i="1"/>
  <c r="BE55" i="1"/>
  <c r="AV55" i="1"/>
  <c r="AU55" i="1"/>
  <c r="AS55" i="1"/>
  <c r="AQ55" i="1"/>
  <c r="AO55" i="1"/>
  <c r="AM55" i="1"/>
  <c r="AK55" i="1"/>
  <c r="AI55" i="1"/>
  <c r="AG55" i="1"/>
  <c r="AE55" i="1"/>
  <c r="AC55" i="1"/>
  <c r="AA55" i="1"/>
  <c r="Y55" i="1"/>
  <c r="W55" i="1"/>
  <c r="U55" i="1"/>
  <c r="S55" i="1"/>
  <c r="Q55" i="1"/>
  <c r="O55" i="1"/>
  <c r="M55" i="1"/>
  <c r="K55" i="1"/>
  <c r="I55" i="1"/>
  <c r="BE51" i="1"/>
  <c r="AX51" i="1"/>
  <c r="AT51" i="1"/>
  <c r="AU51" i="1" s="1"/>
  <c r="AS51" i="1"/>
  <c r="AQ51" i="1"/>
  <c r="AO51" i="1"/>
  <c r="AM51" i="1"/>
  <c r="AK51" i="1"/>
  <c r="AI51" i="1"/>
  <c r="AG51" i="1"/>
  <c r="AE51" i="1"/>
  <c r="AC51" i="1"/>
  <c r="AA51" i="1"/>
  <c r="Y51" i="1"/>
  <c r="W51" i="1"/>
  <c r="U51" i="1"/>
  <c r="S51" i="1"/>
  <c r="Q51" i="1"/>
  <c r="O51" i="1"/>
  <c r="M51" i="1"/>
  <c r="K51" i="1"/>
  <c r="I51" i="1"/>
  <c r="AU50" i="1"/>
  <c r="AS50" i="1"/>
  <c r="AQ50" i="1"/>
  <c r="AO50" i="1"/>
  <c r="AM50" i="1"/>
  <c r="AK50" i="1"/>
  <c r="AI50" i="1"/>
  <c r="AG50" i="1"/>
  <c r="AE50" i="1"/>
  <c r="AC50" i="1"/>
  <c r="AA50" i="1"/>
  <c r="Y50" i="1"/>
  <c r="W50" i="1"/>
  <c r="U50" i="1"/>
  <c r="S50" i="1"/>
  <c r="Q50" i="1"/>
  <c r="O50" i="1"/>
  <c r="M50" i="1"/>
  <c r="K50" i="1"/>
  <c r="I50" i="1"/>
  <c r="BE49" i="1"/>
  <c r="BE64" i="1" s="1"/>
  <c r="AX49" i="1"/>
  <c r="AU49" i="1"/>
  <c r="AT49" i="1"/>
  <c r="AS49" i="1"/>
  <c r="AQ49" i="1"/>
  <c r="AO49" i="1"/>
  <c r="AM49" i="1"/>
  <c r="AK49" i="1"/>
  <c r="AI49" i="1"/>
  <c r="AG49" i="1"/>
  <c r="AE49" i="1"/>
  <c r="AC49" i="1"/>
  <c r="AA49" i="1"/>
  <c r="Y49" i="1"/>
  <c r="W49" i="1"/>
  <c r="U49" i="1"/>
  <c r="S49" i="1"/>
  <c r="Q49" i="1"/>
  <c r="O49" i="1"/>
  <c r="M49" i="1"/>
  <c r="K49" i="1"/>
  <c r="I49" i="1"/>
  <c r="BE48" i="1"/>
  <c r="AU48" i="1"/>
  <c r="AS48" i="1"/>
  <c r="AQ48" i="1"/>
  <c r="AO48" i="1"/>
  <c r="AM48" i="1"/>
  <c r="AK48" i="1"/>
  <c r="AI48" i="1"/>
  <c r="AG48" i="1"/>
  <c r="AE48" i="1"/>
  <c r="AC48" i="1"/>
  <c r="AA48" i="1"/>
  <c r="Y48" i="1"/>
  <c r="W48" i="1"/>
  <c r="U48" i="1"/>
  <c r="S48" i="1"/>
  <c r="Q48" i="1"/>
  <c r="O48" i="1"/>
  <c r="M48" i="1"/>
  <c r="K48" i="1"/>
  <c r="I48" i="1"/>
  <c r="BE47" i="1"/>
  <c r="AX47" i="1"/>
  <c r="AT47" i="1"/>
  <c r="AU47" i="1" s="1"/>
  <c r="AS47" i="1"/>
  <c r="AQ47" i="1"/>
  <c r="AO47" i="1"/>
  <c r="AM47" i="1"/>
  <c r="AK47" i="1"/>
  <c r="AI47" i="1"/>
  <c r="AG47" i="1"/>
  <c r="AE47" i="1"/>
  <c r="AC47" i="1"/>
  <c r="AA47" i="1"/>
  <c r="Y47" i="1"/>
  <c r="W47" i="1"/>
  <c r="U47" i="1"/>
  <c r="S47" i="1"/>
  <c r="Q47" i="1"/>
  <c r="O47" i="1"/>
  <c r="M47" i="1"/>
  <c r="K47" i="1"/>
  <c r="I47" i="1"/>
  <c r="BE46" i="1"/>
  <c r="AU46" i="1"/>
  <c r="AS46" i="1"/>
  <c r="AQ46" i="1"/>
  <c r="AO46" i="1"/>
  <c r="AM46" i="1"/>
  <c r="AK46" i="1"/>
  <c r="AI46" i="1"/>
  <c r="AG46" i="1"/>
  <c r="AE46" i="1"/>
  <c r="AC46" i="1"/>
  <c r="AA46" i="1"/>
  <c r="Y46" i="1"/>
  <c r="W46" i="1"/>
  <c r="U46" i="1"/>
  <c r="S46" i="1"/>
  <c r="Q46" i="1"/>
  <c r="O46" i="1"/>
  <c r="M46" i="1"/>
  <c r="K46" i="1"/>
  <c r="I46" i="1"/>
  <c r="E46" i="1"/>
  <c r="E61" i="1" s="1"/>
  <c r="E77" i="1" s="1"/>
  <c r="E92" i="1" s="1"/>
  <c r="E108" i="1" s="1"/>
  <c r="E121" i="1" s="1"/>
  <c r="E132" i="1" s="1"/>
  <c r="E143" i="1" s="1"/>
  <c r="BE45" i="1"/>
  <c r="AX45" i="1"/>
  <c r="AT45" i="1"/>
  <c r="AU45" i="1" s="1"/>
  <c r="AS45" i="1"/>
  <c r="AQ45" i="1"/>
  <c r="AO45" i="1"/>
  <c r="AM45" i="1"/>
  <c r="AK45" i="1"/>
  <c r="AI45" i="1"/>
  <c r="AG45" i="1"/>
  <c r="AE45" i="1"/>
  <c r="AC45" i="1"/>
  <c r="AA45" i="1"/>
  <c r="Y45" i="1"/>
  <c r="W45" i="1"/>
  <c r="U45" i="1"/>
  <c r="S45" i="1"/>
  <c r="Q45" i="1"/>
  <c r="O45" i="1"/>
  <c r="M45" i="1"/>
  <c r="K45" i="1"/>
  <c r="I45" i="1"/>
  <c r="BE44" i="1"/>
  <c r="AU44" i="1"/>
  <c r="AS44" i="1"/>
  <c r="AQ44" i="1"/>
  <c r="AO44" i="1"/>
  <c r="AM44" i="1"/>
  <c r="AK44" i="1"/>
  <c r="AI44" i="1"/>
  <c r="AG44" i="1"/>
  <c r="AE44" i="1"/>
  <c r="AC44" i="1"/>
  <c r="AA44" i="1"/>
  <c r="Y44" i="1"/>
  <c r="W44" i="1"/>
  <c r="U44" i="1"/>
  <c r="S44" i="1"/>
  <c r="Q44" i="1"/>
  <c r="O44" i="1"/>
  <c r="M44" i="1"/>
  <c r="K44" i="1"/>
  <c r="I44" i="1"/>
  <c r="BE43" i="1"/>
  <c r="AX43" i="1"/>
  <c r="AT43" i="1"/>
  <c r="AU43" i="1" s="1"/>
  <c r="AS43" i="1"/>
  <c r="AQ43" i="1"/>
  <c r="AO43" i="1"/>
  <c r="AM43" i="1"/>
  <c r="AK43" i="1"/>
  <c r="AI43" i="1"/>
  <c r="AG43" i="1"/>
  <c r="AE43" i="1"/>
  <c r="AC43" i="1"/>
  <c r="AA43" i="1"/>
  <c r="Y43" i="1"/>
  <c r="W43" i="1"/>
  <c r="U43" i="1"/>
  <c r="S43" i="1"/>
  <c r="Q43" i="1"/>
  <c r="O43" i="1"/>
  <c r="M43" i="1"/>
  <c r="K43" i="1"/>
  <c r="I43" i="1"/>
  <c r="BE42" i="1"/>
  <c r="AV42" i="1"/>
  <c r="AV44" i="1" s="1"/>
  <c r="AU42" i="1"/>
  <c r="AS42" i="1"/>
  <c r="AQ42" i="1"/>
  <c r="AO42" i="1"/>
  <c r="AM42" i="1"/>
  <c r="AK42" i="1"/>
  <c r="AI42" i="1"/>
  <c r="AG42" i="1"/>
  <c r="AE42" i="1"/>
  <c r="AC42" i="1"/>
  <c r="AA42" i="1"/>
  <c r="Y42" i="1"/>
  <c r="W42" i="1"/>
  <c r="U42" i="1"/>
  <c r="S42" i="1"/>
  <c r="Q42" i="1"/>
  <c r="O42" i="1"/>
  <c r="M42" i="1"/>
  <c r="K42" i="1"/>
  <c r="I42" i="1"/>
  <c r="BE41" i="1"/>
  <c r="AX41" i="1"/>
  <c r="AV41" i="1"/>
  <c r="AW41" i="1" s="1"/>
  <c r="AT41" i="1"/>
  <c r="AU41" i="1" s="1"/>
  <c r="AS41" i="1"/>
  <c r="AQ41" i="1"/>
  <c r="AO41" i="1"/>
  <c r="AM41" i="1"/>
  <c r="AK41" i="1"/>
  <c r="AI41" i="1"/>
  <c r="AG41" i="1"/>
  <c r="AE41" i="1"/>
  <c r="AC41" i="1"/>
  <c r="AA41" i="1"/>
  <c r="Y41" i="1"/>
  <c r="W41" i="1"/>
  <c r="U41" i="1"/>
  <c r="S41" i="1"/>
  <c r="Q41" i="1"/>
  <c r="O41" i="1"/>
  <c r="M41" i="1"/>
  <c r="K41" i="1"/>
  <c r="I41" i="1"/>
  <c r="E41" i="1"/>
  <c r="E56" i="1" s="1"/>
  <c r="E72" i="1" s="1"/>
  <c r="E87" i="1" s="1"/>
  <c r="E103" i="1" s="1"/>
  <c r="E118" i="1" s="1"/>
  <c r="E127" i="1" s="1"/>
  <c r="E138" i="1" s="1"/>
  <c r="BE40" i="1"/>
  <c r="AY40" i="1"/>
  <c r="AU40" i="1"/>
  <c r="AW40" i="1" s="1"/>
  <c r="AS40" i="1"/>
  <c r="AQ40" i="1"/>
  <c r="AO40" i="1"/>
  <c r="AM40" i="1"/>
  <c r="AK40" i="1"/>
  <c r="AI40" i="1"/>
  <c r="AG40" i="1"/>
  <c r="AE40" i="1"/>
  <c r="AC40" i="1"/>
  <c r="AA40" i="1"/>
  <c r="Y40" i="1"/>
  <c r="W40" i="1"/>
  <c r="U40" i="1"/>
  <c r="S40" i="1"/>
  <c r="Q40" i="1"/>
  <c r="O40" i="1"/>
  <c r="M40" i="1"/>
  <c r="K40" i="1"/>
  <c r="I40" i="1"/>
  <c r="E37" i="1"/>
  <c r="E36" i="1"/>
  <c r="BF35" i="1"/>
  <c r="BE21" i="1" s="1"/>
  <c r="BD35" i="1"/>
  <c r="AX35" i="1"/>
  <c r="AU35" i="1"/>
  <c r="AT35" i="1"/>
  <c r="AS35" i="1"/>
  <c r="AQ35" i="1"/>
  <c r="AO35" i="1"/>
  <c r="AM35" i="1"/>
  <c r="AK35" i="1"/>
  <c r="AI35" i="1"/>
  <c r="AG35" i="1"/>
  <c r="AE35" i="1"/>
  <c r="AC35" i="1"/>
  <c r="AA35" i="1"/>
  <c r="Y35" i="1"/>
  <c r="W35" i="1"/>
  <c r="U35" i="1"/>
  <c r="S35" i="1"/>
  <c r="Q35" i="1"/>
  <c r="O35" i="1"/>
  <c r="M35" i="1"/>
  <c r="K35" i="1"/>
  <c r="I35" i="1"/>
  <c r="E35" i="1"/>
  <c r="E51" i="1" s="1"/>
  <c r="E66" i="1" s="1"/>
  <c r="E82" i="1" s="1"/>
  <c r="E97" i="1" s="1"/>
  <c r="E113" i="1" s="1"/>
  <c r="AU34" i="1"/>
  <c r="AS34" i="1"/>
  <c r="AQ34" i="1"/>
  <c r="AO34" i="1"/>
  <c r="AM34" i="1"/>
  <c r="AK34" i="1"/>
  <c r="AI34" i="1"/>
  <c r="AG34" i="1"/>
  <c r="AE34" i="1"/>
  <c r="AC34" i="1"/>
  <c r="AA34" i="1"/>
  <c r="Y34" i="1"/>
  <c r="W34" i="1"/>
  <c r="U34" i="1"/>
  <c r="S34" i="1"/>
  <c r="Q34" i="1"/>
  <c r="O34" i="1"/>
  <c r="M34" i="1"/>
  <c r="K34" i="1"/>
  <c r="I34" i="1"/>
  <c r="E34" i="1"/>
  <c r="E40" i="1" s="1"/>
  <c r="E55" i="1" s="1"/>
  <c r="E68" i="1" s="1"/>
  <c r="D34" i="1"/>
  <c r="BD33" i="1"/>
  <c r="AX33" i="1"/>
  <c r="AT33" i="1"/>
  <c r="AU33" i="1" s="1"/>
  <c r="AS33" i="1"/>
  <c r="AQ33" i="1"/>
  <c r="AO33" i="1"/>
  <c r="AM33" i="1"/>
  <c r="AK33" i="1"/>
  <c r="AI33" i="1"/>
  <c r="AG33" i="1"/>
  <c r="AE33" i="1"/>
  <c r="AC33" i="1"/>
  <c r="AA33" i="1"/>
  <c r="Y33" i="1"/>
  <c r="W33" i="1"/>
  <c r="U33" i="1"/>
  <c r="S33" i="1"/>
  <c r="Q33" i="1"/>
  <c r="O33" i="1"/>
  <c r="M33" i="1"/>
  <c r="K33" i="1"/>
  <c r="I33" i="1"/>
  <c r="E33" i="1"/>
  <c r="E49" i="1" s="1"/>
  <c r="E64" i="1" s="1"/>
  <c r="E80" i="1" s="1"/>
  <c r="E95" i="1" s="1"/>
  <c r="E111" i="1" s="1"/>
  <c r="BE32" i="1"/>
  <c r="AU32" i="1"/>
  <c r="AS32" i="1"/>
  <c r="AQ32" i="1"/>
  <c r="AO32" i="1"/>
  <c r="AM32" i="1"/>
  <c r="AK32" i="1"/>
  <c r="AI32" i="1"/>
  <c r="AG32" i="1"/>
  <c r="AE32" i="1"/>
  <c r="AC32" i="1"/>
  <c r="AA32" i="1"/>
  <c r="Y32" i="1"/>
  <c r="W32" i="1"/>
  <c r="U32" i="1"/>
  <c r="S32" i="1"/>
  <c r="Q32" i="1"/>
  <c r="O32" i="1"/>
  <c r="M32" i="1"/>
  <c r="K32" i="1"/>
  <c r="I32" i="1"/>
  <c r="E32" i="1"/>
  <c r="E48" i="1" s="1"/>
  <c r="E63" i="1" s="1"/>
  <c r="E79" i="1" s="1"/>
  <c r="E94" i="1" s="1"/>
  <c r="E110" i="1" s="1"/>
  <c r="D32" i="1"/>
  <c r="BD31" i="1"/>
  <c r="AX31" i="1"/>
  <c r="AT31" i="1"/>
  <c r="AU31" i="1" s="1"/>
  <c r="AS31" i="1"/>
  <c r="AQ31" i="1"/>
  <c r="AO31" i="1"/>
  <c r="AM31" i="1"/>
  <c r="AK31" i="1"/>
  <c r="AI31" i="1"/>
  <c r="AG31" i="1"/>
  <c r="AE31" i="1"/>
  <c r="AC31" i="1"/>
  <c r="AA31" i="1"/>
  <c r="Y31" i="1"/>
  <c r="W31" i="1"/>
  <c r="U31" i="1"/>
  <c r="S31" i="1"/>
  <c r="Q31" i="1"/>
  <c r="O31" i="1"/>
  <c r="M31" i="1"/>
  <c r="K31" i="1"/>
  <c r="I31" i="1"/>
  <c r="E31" i="1"/>
  <c r="E47" i="1" s="1"/>
  <c r="E62" i="1" s="1"/>
  <c r="E78" i="1" s="1"/>
  <c r="E93" i="1" s="1"/>
  <c r="E109" i="1" s="1"/>
  <c r="E122" i="1" s="1"/>
  <c r="E133" i="1" s="1"/>
  <c r="E144" i="1" s="1"/>
  <c r="BE30" i="1"/>
  <c r="AU30" i="1"/>
  <c r="AS30" i="1"/>
  <c r="AQ30" i="1"/>
  <c r="AO30" i="1"/>
  <c r="BA30" i="1" s="1"/>
  <c r="AM30" i="1"/>
  <c r="AK30" i="1"/>
  <c r="AI30" i="1"/>
  <c r="AG30" i="1"/>
  <c r="AE30" i="1"/>
  <c r="AC30" i="1"/>
  <c r="AA30" i="1"/>
  <c r="Y30" i="1"/>
  <c r="W30" i="1"/>
  <c r="U30" i="1"/>
  <c r="S30" i="1"/>
  <c r="Q30" i="1"/>
  <c r="O30" i="1"/>
  <c r="M30" i="1"/>
  <c r="K30" i="1"/>
  <c r="I30" i="1"/>
  <c r="E30" i="1"/>
  <c r="D30" i="1"/>
  <c r="BD29" i="1"/>
  <c r="AX29" i="1"/>
  <c r="AT29" i="1"/>
  <c r="AU29" i="1" s="1"/>
  <c r="AS29" i="1"/>
  <c r="AQ29" i="1"/>
  <c r="AO29" i="1"/>
  <c r="AM29" i="1"/>
  <c r="AK29" i="1"/>
  <c r="AI29" i="1"/>
  <c r="AG29" i="1"/>
  <c r="AE29" i="1"/>
  <c r="AC29" i="1"/>
  <c r="AA29" i="1"/>
  <c r="Y29" i="1"/>
  <c r="W29" i="1"/>
  <c r="U29" i="1"/>
  <c r="S29" i="1"/>
  <c r="Q29" i="1"/>
  <c r="O29" i="1"/>
  <c r="M29" i="1"/>
  <c r="K29" i="1"/>
  <c r="I29" i="1"/>
  <c r="E29" i="1"/>
  <c r="E45" i="1" s="1"/>
  <c r="E60" i="1" s="1"/>
  <c r="E76" i="1" s="1"/>
  <c r="E91" i="1" s="1"/>
  <c r="E107" i="1" s="1"/>
  <c r="E120" i="1" s="1"/>
  <c r="E131" i="1" s="1"/>
  <c r="E142" i="1" s="1"/>
  <c r="BE28" i="1"/>
  <c r="AV28" i="1"/>
  <c r="AU28" i="1"/>
  <c r="AS28" i="1"/>
  <c r="AQ28" i="1"/>
  <c r="AO28" i="1"/>
  <c r="AM28" i="1"/>
  <c r="AK28" i="1"/>
  <c r="AI28" i="1"/>
  <c r="AG28" i="1"/>
  <c r="AE28" i="1"/>
  <c r="AC28" i="1"/>
  <c r="AA28" i="1"/>
  <c r="Y28" i="1"/>
  <c r="W28" i="1"/>
  <c r="U28" i="1"/>
  <c r="S28" i="1"/>
  <c r="Q28" i="1"/>
  <c r="O28" i="1"/>
  <c r="M28" i="1"/>
  <c r="K28" i="1"/>
  <c r="I28" i="1"/>
  <c r="E28" i="1"/>
  <c r="E44" i="1" s="1"/>
  <c r="E59" i="1" s="1"/>
  <c r="E75" i="1" s="1"/>
  <c r="E90" i="1" s="1"/>
  <c r="E106" i="1" s="1"/>
  <c r="E119" i="1" s="1"/>
  <c r="E130" i="1" s="1"/>
  <c r="E141" i="1" s="1"/>
  <c r="D28" i="1"/>
  <c r="BD27" i="1"/>
  <c r="AX27" i="1"/>
  <c r="AT27" i="1"/>
  <c r="AU27" i="1" s="1"/>
  <c r="AS27" i="1"/>
  <c r="AQ27" i="1"/>
  <c r="AO27" i="1"/>
  <c r="AM27" i="1"/>
  <c r="AK27" i="1"/>
  <c r="AI27" i="1"/>
  <c r="AG27" i="1"/>
  <c r="AE27" i="1"/>
  <c r="AC27" i="1"/>
  <c r="AA27" i="1"/>
  <c r="Y27" i="1"/>
  <c r="W27" i="1"/>
  <c r="U27" i="1"/>
  <c r="S27" i="1"/>
  <c r="Q27" i="1"/>
  <c r="O27" i="1"/>
  <c r="BA27" i="1" s="1"/>
  <c r="M27" i="1"/>
  <c r="K27" i="1"/>
  <c r="I27" i="1"/>
  <c r="E27" i="1"/>
  <c r="E43" i="1" s="1"/>
  <c r="BE26" i="1"/>
  <c r="AV26" i="1"/>
  <c r="AV27" i="1" s="1"/>
  <c r="AU26" i="1"/>
  <c r="AS26" i="1"/>
  <c r="AQ26" i="1"/>
  <c r="AO26" i="1"/>
  <c r="AM26" i="1"/>
  <c r="AK26" i="1"/>
  <c r="AI26" i="1"/>
  <c r="AG26" i="1"/>
  <c r="AE26" i="1"/>
  <c r="AC26" i="1"/>
  <c r="AA26" i="1"/>
  <c r="Y26" i="1"/>
  <c r="W26" i="1"/>
  <c r="U26" i="1"/>
  <c r="S26" i="1"/>
  <c r="Q26" i="1"/>
  <c r="O26" i="1"/>
  <c r="M26" i="1"/>
  <c r="K26" i="1"/>
  <c r="I26" i="1"/>
  <c r="E26" i="1"/>
  <c r="E42" i="1" s="1"/>
  <c r="E57" i="1" s="1"/>
  <c r="E73" i="1" s="1"/>
  <c r="E88" i="1" s="1"/>
  <c r="E104" i="1" s="1"/>
  <c r="E128" i="1" s="1"/>
  <c r="E139" i="1" s="1"/>
  <c r="D26" i="1"/>
  <c r="BD22" i="1"/>
  <c r="AX22" i="1"/>
  <c r="AT22" i="1"/>
  <c r="AU22" i="1" s="1"/>
  <c r="AS22" i="1"/>
  <c r="AQ22" i="1"/>
  <c r="AO22" i="1"/>
  <c r="AM22" i="1"/>
  <c r="AK22" i="1"/>
  <c r="AI22" i="1"/>
  <c r="AG22" i="1"/>
  <c r="AE22" i="1"/>
  <c r="AC22" i="1"/>
  <c r="AA22" i="1"/>
  <c r="Y22" i="1"/>
  <c r="W22" i="1"/>
  <c r="U22" i="1"/>
  <c r="S22" i="1"/>
  <c r="Q22" i="1"/>
  <c r="O22" i="1"/>
  <c r="M22" i="1"/>
  <c r="K22" i="1"/>
  <c r="I22" i="1"/>
  <c r="AU21" i="1"/>
  <c r="AS21" i="1"/>
  <c r="AQ21" i="1"/>
  <c r="AO21" i="1"/>
  <c r="AM21" i="1"/>
  <c r="AK21" i="1"/>
  <c r="AI21" i="1"/>
  <c r="AG21" i="1"/>
  <c r="AE21" i="1"/>
  <c r="AB21" i="1"/>
  <c r="AC21" i="1" s="1"/>
  <c r="AA21" i="1"/>
  <c r="Y21" i="1"/>
  <c r="W21" i="1"/>
  <c r="U21" i="1"/>
  <c r="S21" i="1"/>
  <c r="Q21" i="1"/>
  <c r="O21" i="1"/>
  <c r="M21" i="1"/>
  <c r="K21" i="1"/>
  <c r="I21" i="1"/>
  <c r="BD20" i="1"/>
  <c r="BE20" i="1" s="1"/>
  <c r="BE33" i="1" s="1"/>
  <c r="AX20" i="1"/>
  <c r="AT20" i="1"/>
  <c r="AU20" i="1" s="1"/>
  <c r="AS20" i="1"/>
  <c r="AQ20" i="1"/>
  <c r="AO20" i="1"/>
  <c r="AM20" i="1"/>
  <c r="AK20" i="1"/>
  <c r="AI20" i="1"/>
  <c r="AG20" i="1"/>
  <c r="AE20" i="1"/>
  <c r="AC20" i="1"/>
  <c r="AA20" i="1"/>
  <c r="Y20" i="1"/>
  <c r="W20" i="1"/>
  <c r="U20" i="1"/>
  <c r="S20" i="1"/>
  <c r="Q20" i="1"/>
  <c r="O20" i="1"/>
  <c r="M20" i="1"/>
  <c r="K20" i="1"/>
  <c r="I20" i="1"/>
  <c r="BE19" i="1"/>
  <c r="AY19" i="1"/>
  <c r="AU19" i="1"/>
  <c r="AS19" i="1"/>
  <c r="AQ19" i="1"/>
  <c r="AO19" i="1"/>
  <c r="AM19" i="1"/>
  <c r="AK19" i="1"/>
  <c r="AI19" i="1"/>
  <c r="AG19" i="1"/>
  <c r="AE19" i="1"/>
  <c r="AC19" i="1"/>
  <c r="AA19" i="1"/>
  <c r="BA19" i="1" s="1"/>
  <c r="Y19" i="1"/>
  <c r="W19" i="1"/>
  <c r="U19" i="1"/>
  <c r="S19" i="1"/>
  <c r="Q19" i="1"/>
  <c r="O19" i="1"/>
  <c r="M19" i="1"/>
  <c r="K19" i="1"/>
  <c r="I19" i="1"/>
  <c r="BD18" i="1"/>
  <c r="BE18" i="1" s="1"/>
  <c r="AX18" i="1"/>
  <c r="AT18" i="1"/>
  <c r="AU18" i="1" s="1"/>
  <c r="AS18" i="1"/>
  <c r="AQ18" i="1"/>
  <c r="AO18" i="1"/>
  <c r="AM18" i="1"/>
  <c r="AK18" i="1"/>
  <c r="AI18" i="1"/>
  <c r="AG18" i="1"/>
  <c r="AE18" i="1"/>
  <c r="AC18" i="1"/>
  <c r="AA18" i="1"/>
  <c r="Y18" i="1"/>
  <c r="W18" i="1"/>
  <c r="U18" i="1"/>
  <c r="S18" i="1"/>
  <c r="Q18" i="1"/>
  <c r="O18" i="1"/>
  <c r="M18" i="1"/>
  <c r="K18" i="1"/>
  <c r="I18" i="1"/>
  <c r="BE17" i="1"/>
  <c r="AU17" i="1"/>
  <c r="AS17" i="1"/>
  <c r="AQ17" i="1"/>
  <c r="AO17" i="1"/>
  <c r="AM17" i="1"/>
  <c r="AK17" i="1"/>
  <c r="AI17" i="1"/>
  <c r="AG17" i="1"/>
  <c r="AE17" i="1"/>
  <c r="AB17" i="1"/>
  <c r="AC17" i="1" s="1"/>
  <c r="AA17" i="1"/>
  <c r="Y17" i="1"/>
  <c r="W17" i="1"/>
  <c r="U17" i="1"/>
  <c r="S17" i="1"/>
  <c r="Q17" i="1"/>
  <c r="O17" i="1"/>
  <c r="M17" i="1"/>
  <c r="K17" i="1"/>
  <c r="I17" i="1"/>
  <c r="BD16" i="1"/>
  <c r="BE16" i="1" s="1"/>
  <c r="AX16" i="1"/>
  <c r="AT16" i="1"/>
  <c r="AU16" i="1" s="1"/>
  <c r="AS16" i="1"/>
  <c r="AQ16" i="1"/>
  <c r="AO16" i="1"/>
  <c r="AM16" i="1"/>
  <c r="AK16" i="1"/>
  <c r="AI16" i="1"/>
  <c r="AG16" i="1"/>
  <c r="AE16" i="1"/>
  <c r="AC16" i="1"/>
  <c r="AA16" i="1"/>
  <c r="Y16" i="1"/>
  <c r="W16" i="1"/>
  <c r="U16" i="1"/>
  <c r="S16" i="1"/>
  <c r="Q16" i="1"/>
  <c r="O16" i="1"/>
  <c r="M16" i="1"/>
  <c r="K16" i="1"/>
  <c r="I16" i="1"/>
  <c r="BE15" i="1"/>
  <c r="AY15" i="1"/>
  <c r="AV15" i="1"/>
  <c r="AV17" i="1" s="1"/>
  <c r="AV19" i="1" s="1"/>
  <c r="AU15" i="1"/>
  <c r="AW15" i="1" s="1"/>
  <c r="AS15" i="1"/>
  <c r="AQ15" i="1"/>
  <c r="AO15" i="1"/>
  <c r="BA15" i="1" s="1"/>
  <c r="AM15" i="1"/>
  <c r="AK15" i="1"/>
  <c r="AI15" i="1"/>
  <c r="AG15" i="1"/>
  <c r="AE15" i="1"/>
  <c r="AB15" i="1"/>
  <c r="AC15" i="1" s="1"/>
  <c r="AA15" i="1"/>
  <c r="Y15" i="1"/>
  <c r="W15" i="1"/>
  <c r="U15" i="1"/>
  <c r="S15" i="1"/>
  <c r="Q15" i="1"/>
  <c r="O15" i="1"/>
  <c r="M15" i="1"/>
  <c r="K15" i="1"/>
  <c r="I15" i="1"/>
  <c r="BD14" i="1"/>
  <c r="BE14" i="1" s="1"/>
  <c r="AX14" i="1"/>
  <c r="AV14" i="1"/>
  <c r="AT14" i="1"/>
  <c r="AU14" i="1" s="1"/>
  <c r="AS14" i="1"/>
  <c r="AQ14" i="1"/>
  <c r="AO14" i="1"/>
  <c r="AM14" i="1"/>
  <c r="AK14" i="1"/>
  <c r="AI14" i="1"/>
  <c r="AG14" i="1"/>
  <c r="AE14" i="1"/>
  <c r="AC14" i="1"/>
  <c r="AA14" i="1"/>
  <c r="Y14" i="1"/>
  <c r="W14" i="1"/>
  <c r="U14" i="1"/>
  <c r="S14" i="1"/>
  <c r="Q14" i="1"/>
  <c r="O14" i="1"/>
  <c r="M14" i="1"/>
  <c r="K14" i="1"/>
  <c r="I14" i="1"/>
  <c r="BE13" i="1"/>
  <c r="AY13" i="1"/>
  <c r="AZ13" i="1" s="1"/>
  <c r="AU13" i="1"/>
  <c r="AW13" i="1" s="1"/>
  <c r="AS13" i="1"/>
  <c r="AQ13" i="1"/>
  <c r="AO13" i="1"/>
  <c r="AM13" i="1"/>
  <c r="AK13" i="1"/>
  <c r="AI13" i="1"/>
  <c r="AG13" i="1"/>
  <c r="AE13" i="1"/>
  <c r="AC13" i="1"/>
  <c r="AA13" i="1"/>
  <c r="Y13" i="1"/>
  <c r="W13" i="1"/>
  <c r="U13" i="1"/>
  <c r="S13" i="1"/>
  <c r="Q13" i="1"/>
  <c r="O13" i="1"/>
  <c r="M13" i="1"/>
  <c r="K13" i="1"/>
  <c r="I13" i="1"/>
  <c r="T12" i="1"/>
  <c r="X12" i="1" s="1"/>
  <c r="AB12" i="1" s="1"/>
  <c r="AF12" i="1" s="1"/>
  <c r="AJ12" i="1" s="1"/>
  <c r="AN12" i="1" s="1"/>
  <c r="AR12" i="1" s="1"/>
  <c r="S12" i="1"/>
  <c r="W12" i="1" s="1"/>
  <c r="AA12" i="1" s="1"/>
  <c r="AE12" i="1" s="1"/>
  <c r="AI12" i="1" s="1"/>
  <c r="AM12" i="1" s="1"/>
  <c r="AQ12" i="1" s="1"/>
  <c r="Q12" i="1"/>
  <c r="U12" i="1" s="1"/>
  <c r="Y12" i="1" s="1"/>
  <c r="AC12" i="1" s="1"/>
  <c r="AG12" i="1" s="1"/>
  <c r="AK12" i="1" s="1"/>
  <c r="AO12" i="1" s="1"/>
  <c r="AS12" i="1" s="1"/>
  <c r="P12" i="1"/>
  <c r="N12" i="1"/>
  <c r="R12" i="1" s="1"/>
  <c r="V12" i="1" s="1"/>
  <c r="Z12" i="1" s="1"/>
  <c r="AD12" i="1" s="1"/>
  <c r="AH12" i="1" s="1"/>
  <c r="AL12" i="1" s="1"/>
  <c r="AP12" i="1" s="1"/>
  <c r="P11" i="1"/>
  <c r="T11" i="1" s="1"/>
  <c r="X11" i="1" s="1"/>
  <c r="AB11" i="1" s="1"/>
  <c r="AF11" i="1" s="1"/>
  <c r="AJ11" i="1" s="1"/>
  <c r="AN11" i="1" s="1"/>
  <c r="AR11" i="1" s="1"/>
  <c r="N11" i="1"/>
  <c r="R11" i="1" s="1"/>
  <c r="V11" i="1" s="1"/>
  <c r="Z11" i="1" s="1"/>
  <c r="AD11" i="1" s="1"/>
  <c r="AH11" i="1" s="1"/>
  <c r="AL11" i="1" s="1"/>
  <c r="AP11" i="1" s="1"/>
  <c r="H7" i="1"/>
  <c r="F6" i="1"/>
  <c r="D5" i="1"/>
  <c r="H5" i="1" s="1"/>
  <c r="F4" i="1"/>
  <c r="H4" i="1" s="1"/>
  <c r="AZ44" i="1" l="1"/>
  <c r="BE23" i="1"/>
  <c r="AZ40" i="1"/>
  <c r="BA55" i="1"/>
  <c r="BA90" i="1"/>
  <c r="AV16" i="1"/>
  <c r="BE52" i="1"/>
  <c r="BE54" i="1" s="1"/>
  <c r="AW42" i="1"/>
  <c r="AV43" i="1"/>
  <c r="AV57" i="1"/>
  <c r="AW57" i="1" s="1"/>
  <c r="BA89" i="1"/>
  <c r="BA94" i="1"/>
  <c r="BA110" i="1"/>
  <c r="BE140" i="1"/>
  <c r="BA144" i="1"/>
  <c r="BA26" i="1"/>
  <c r="BA105" i="1"/>
  <c r="AZ126" i="1"/>
  <c r="BA16" i="1"/>
  <c r="BA21" i="1"/>
  <c r="AY42" i="1"/>
  <c r="AZ42" i="1" s="1"/>
  <c r="AW44" i="1"/>
  <c r="BA73" i="1"/>
  <c r="BA75" i="1"/>
  <c r="BA127" i="1"/>
  <c r="BA129" i="1"/>
  <c r="BA57" i="1"/>
  <c r="BA63" i="1"/>
  <c r="BE135" i="1"/>
  <c r="BE96" i="1"/>
  <c r="F144" i="1"/>
  <c r="AZ15" i="1"/>
  <c r="BE31" i="1"/>
  <c r="BE53" i="1"/>
  <c r="AY44" i="1"/>
  <c r="BE58" i="1"/>
  <c r="BA66" i="1"/>
  <c r="BA93" i="1"/>
  <c r="BA126" i="1"/>
  <c r="F132" i="1"/>
  <c r="F143" i="1"/>
  <c r="BA13" i="1"/>
  <c r="BA20" i="1"/>
  <c r="BA103" i="1"/>
  <c r="BA31" i="1"/>
  <c r="BA80" i="1"/>
  <c r="BA34" i="1"/>
  <c r="BA74" i="1"/>
  <c r="BA109" i="1"/>
  <c r="BA119" i="1"/>
  <c r="AV120" i="1"/>
  <c r="BA121" i="1"/>
  <c r="BA29" i="1"/>
  <c r="AY127" i="1"/>
  <c r="BE98" i="1"/>
  <c r="BE22" i="1"/>
  <c r="BE24" i="1" s="1"/>
  <c r="BE25" i="1" s="1"/>
  <c r="AZ71" i="1"/>
  <c r="BA81" i="1"/>
  <c r="BE82" i="1"/>
  <c r="AW118" i="1"/>
  <c r="BA88" i="1"/>
  <c r="BA131" i="1"/>
  <c r="BA132" i="1"/>
  <c r="BE66" i="1"/>
  <c r="BA14" i="1"/>
  <c r="BA17" i="1"/>
  <c r="BA40" i="1"/>
  <c r="BA41" i="1"/>
  <c r="BA86" i="1"/>
  <c r="BA87" i="1"/>
  <c r="BA122" i="1"/>
  <c r="BA61" i="1"/>
  <c r="BA142" i="1"/>
  <c r="BE144" i="1"/>
  <c r="BE27" i="1"/>
  <c r="AY28" i="1"/>
  <c r="AZ28" i="1" s="1"/>
  <c r="BA32" i="1"/>
  <c r="BA35" i="1"/>
  <c r="AW72" i="1"/>
  <c r="BA137" i="1"/>
  <c r="D6" i="1"/>
  <c r="H6" i="1" s="1"/>
  <c r="BA18" i="1"/>
  <c r="AW28" i="1"/>
  <c r="BA44" i="1"/>
  <c r="BA48" i="1"/>
  <c r="E50" i="1"/>
  <c r="E65" i="1" s="1"/>
  <c r="E81" i="1" s="1"/>
  <c r="E96" i="1" s="1"/>
  <c r="E112" i="1" s="1"/>
  <c r="AV60" i="1"/>
  <c r="AW59" i="1"/>
  <c r="BA62" i="1"/>
  <c r="E71" i="1"/>
  <c r="E86" i="1" s="1"/>
  <c r="E102" i="1" s="1"/>
  <c r="E117" i="1" s="1"/>
  <c r="E126" i="1" s="1"/>
  <c r="E137" i="1" s="1"/>
  <c r="BA82" i="1"/>
  <c r="AV87" i="1"/>
  <c r="AY86" i="1"/>
  <c r="AW86" i="1"/>
  <c r="AV73" i="1"/>
  <c r="AY138" i="1"/>
  <c r="AV140" i="1"/>
  <c r="BA33" i="1"/>
  <c r="AW43" i="1"/>
  <c r="BA49" i="1"/>
  <c r="AY59" i="1"/>
  <c r="AZ59" i="1" s="1"/>
  <c r="AZ72" i="1"/>
  <c r="AZ86" i="1"/>
  <c r="BA92" i="1"/>
  <c r="BA112" i="1"/>
  <c r="AY139" i="1"/>
  <c r="BA143" i="1"/>
  <c r="AW16" i="1"/>
  <c r="AW14" i="1"/>
  <c r="AY16" i="1"/>
  <c r="AZ16" i="1" s="1"/>
  <c r="AY14" i="1"/>
  <c r="AZ14" i="1" s="1"/>
  <c r="AV29" i="1"/>
  <c r="BA45" i="1"/>
  <c r="BA71" i="1"/>
  <c r="BA95" i="1"/>
  <c r="AV122" i="1"/>
  <c r="AY121" i="1"/>
  <c r="AZ121" i="1" s="1"/>
  <c r="BE67" i="1"/>
  <c r="BE56" i="1"/>
  <c r="AY27" i="1"/>
  <c r="AZ27" i="1" s="1"/>
  <c r="AY131" i="1"/>
  <c r="AZ131" i="1" s="1"/>
  <c r="AW131" i="1"/>
  <c r="AW17" i="1"/>
  <c r="AW26" i="1"/>
  <c r="BA42" i="1"/>
  <c r="BA64" i="1"/>
  <c r="BE89" i="1"/>
  <c r="AY103" i="1"/>
  <c r="AZ103" i="1" s="1"/>
  <c r="AW121" i="1"/>
  <c r="AT129" i="1"/>
  <c r="AU129" i="1" s="1"/>
  <c r="AU127" i="1"/>
  <c r="AZ127" i="1" s="1"/>
  <c r="AT137" i="1"/>
  <c r="BE145" i="1"/>
  <c r="BE138" i="1"/>
  <c r="AV20" i="1"/>
  <c r="AV32" i="1"/>
  <c r="AW19" i="1"/>
  <c r="AV21" i="1"/>
  <c r="AZ19" i="1"/>
  <c r="AY17" i="1"/>
  <c r="AY26" i="1"/>
  <c r="AZ26" i="1" s="1"/>
  <c r="BE34" i="1"/>
  <c r="BA50" i="1"/>
  <c r="BE112" i="1"/>
  <c r="BE113" i="1" s="1"/>
  <c r="AW127" i="1"/>
  <c r="AU128" i="1"/>
  <c r="AZ128" i="1" s="1"/>
  <c r="AZ17" i="1"/>
  <c r="AW27" i="1"/>
  <c r="AV56" i="1"/>
  <c r="AY130" i="1"/>
  <c r="AZ130" i="1" s="1"/>
  <c r="AV141" i="1"/>
  <c r="AV132" i="1"/>
  <c r="AV18" i="1"/>
  <c r="BA65" i="1"/>
  <c r="BA113" i="1"/>
  <c r="BE134" i="1"/>
  <c r="BE136" i="1" s="1"/>
  <c r="BA140" i="1"/>
  <c r="BE29" i="1"/>
  <c r="BA118" i="1"/>
  <c r="AW55" i="1"/>
  <c r="AV30" i="1"/>
  <c r="AY41" i="1"/>
  <c r="AZ41" i="1" s="1"/>
  <c r="AV46" i="1"/>
  <c r="AV45" i="1"/>
  <c r="BA47" i="1"/>
  <c r="AY55" i="1"/>
  <c r="AZ55" i="1" s="1"/>
  <c r="BA76" i="1"/>
  <c r="BE105" i="1"/>
  <c r="BA117" i="1"/>
  <c r="BA120" i="1"/>
  <c r="BA139" i="1"/>
  <c r="AZ104" i="1"/>
  <c r="AV105" i="1"/>
  <c r="AW104" i="1"/>
  <c r="AV106" i="1"/>
  <c r="BA43" i="1"/>
  <c r="BA22" i="1"/>
  <c r="BA77" i="1"/>
  <c r="BE95" i="1"/>
  <c r="BE142" i="1"/>
  <c r="BA104" i="1"/>
  <c r="AW120" i="1"/>
  <c r="BE87" i="1"/>
  <c r="BE91" i="1"/>
  <c r="BA141" i="1"/>
  <c r="BA96" i="1"/>
  <c r="AY120" i="1"/>
  <c r="AZ120" i="1" s="1"/>
  <c r="BA130" i="1"/>
  <c r="BA133" i="1"/>
  <c r="BA51" i="1"/>
  <c r="BE122" i="1"/>
  <c r="BE124" i="1" s="1"/>
  <c r="AV129" i="1"/>
  <c r="BA108" i="1"/>
  <c r="BA97" i="1"/>
  <c r="BA102" i="1"/>
  <c r="BE123" i="1"/>
  <c r="BE93" i="1"/>
  <c r="AW119" i="1"/>
  <c r="BA128" i="1"/>
  <c r="BA28" i="1"/>
  <c r="BA46" i="1"/>
  <c r="BA106" i="1"/>
  <c r="AY119" i="1"/>
  <c r="AZ119" i="1" s="1"/>
  <c r="BE97" i="1" l="1"/>
  <c r="BE84" i="1"/>
  <c r="BE85" i="1" s="1"/>
  <c r="AY57" i="1"/>
  <c r="AZ57" i="1" s="1"/>
  <c r="BB57" i="1" s="1"/>
  <c r="BC57" i="1" s="1"/>
  <c r="BE114" i="1"/>
  <c r="AW128" i="1"/>
  <c r="BE68" i="1"/>
  <c r="BE69" i="1" s="1"/>
  <c r="BE115" i="1"/>
  <c r="BE35" i="1"/>
  <c r="BE37" i="1" s="1"/>
  <c r="AV58" i="1"/>
  <c r="AZ43" i="1"/>
  <c r="AY43" i="1"/>
  <c r="H8" i="1"/>
  <c r="BB14" i="1" s="1"/>
  <c r="BC14" i="1" s="1"/>
  <c r="I144" i="1"/>
  <c r="I119" i="1"/>
  <c r="I132" i="1"/>
  <c r="I110" i="1"/>
  <c r="I94" i="1"/>
  <c r="I143" i="1"/>
  <c r="I80" i="1"/>
  <c r="I95" i="1"/>
  <c r="I121" i="1"/>
  <c r="I79" i="1"/>
  <c r="I120" i="1"/>
  <c r="I133" i="1"/>
  <c r="I131" i="1"/>
  <c r="I122" i="1"/>
  <c r="I130" i="1"/>
  <c r="I111" i="1"/>
  <c r="I141" i="1"/>
  <c r="I142" i="1"/>
  <c r="BB128" i="1"/>
  <c r="BC128" i="1" s="1"/>
  <c r="AW32" i="1"/>
  <c r="AY32" i="1"/>
  <c r="AZ32" i="1" s="1"/>
  <c r="AV33" i="1"/>
  <c r="AW20" i="1"/>
  <c r="AY20" i="1"/>
  <c r="AZ20" i="1" s="1"/>
  <c r="AW29" i="1"/>
  <c r="AY29" i="1"/>
  <c r="AZ29" i="1" s="1"/>
  <c r="AV31" i="1"/>
  <c r="AY30" i="1"/>
  <c r="AW30" i="1"/>
  <c r="AZ30" i="1"/>
  <c r="AY140" i="1"/>
  <c r="AY18" i="1"/>
  <c r="AW18" i="1"/>
  <c r="AZ18" i="1"/>
  <c r="AY141" i="1"/>
  <c r="AZ141" i="1" s="1"/>
  <c r="AW141" i="1"/>
  <c r="AV142" i="1"/>
  <c r="AV22" i="1"/>
  <c r="AW21" i="1"/>
  <c r="AY21" i="1"/>
  <c r="AZ21" i="1"/>
  <c r="AV34" i="1"/>
  <c r="AV108" i="1"/>
  <c r="AV107" i="1"/>
  <c r="AY106" i="1"/>
  <c r="AZ106" i="1" s="1"/>
  <c r="AW106" i="1"/>
  <c r="AZ132" i="1"/>
  <c r="AV133" i="1"/>
  <c r="AW132" i="1"/>
  <c r="AV143" i="1"/>
  <c r="AW105" i="1"/>
  <c r="AY105" i="1"/>
  <c r="AZ105" i="1" s="1"/>
  <c r="AW73" i="1"/>
  <c r="AV74" i="1"/>
  <c r="AV88" i="1"/>
  <c r="AY73" i="1"/>
  <c r="AZ73" i="1" s="1"/>
  <c r="BE146" i="1"/>
  <c r="BE147" i="1" s="1"/>
  <c r="AZ60" i="1"/>
  <c r="AY60" i="1"/>
  <c r="AW60" i="1"/>
  <c r="AY122" i="1"/>
  <c r="AZ122" i="1" s="1"/>
  <c r="AW122" i="1"/>
  <c r="AY129" i="1"/>
  <c r="AW129" i="1"/>
  <c r="AZ129" i="1"/>
  <c r="BE99" i="1"/>
  <c r="BE100" i="1" s="1"/>
  <c r="AT138" i="1"/>
  <c r="AU137" i="1"/>
  <c r="AT139" i="1"/>
  <c r="AY45" i="1"/>
  <c r="AZ45" i="1"/>
  <c r="AW45" i="1"/>
  <c r="AW56" i="1"/>
  <c r="AY56" i="1"/>
  <c r="AZ56" i="1" s="1"/>
  <c r="AY87" i="1"/>
  <c r="AZ87" i="1" s="1"/>
  <c r="AW87" i="1"/>
  <c r="BE36" i="1"/>
  <c r="AW58" i="1"/>
  <c r="AY58" i="1"/>
  <c r="AZ58" i="1" s="1"/>
  <c r="AV48" i="1"/>
  <c r="AV61" i="1"/>
  <c r="AW46" i="1"/>
  <c r="AV47" i="1"/>
  <c r="AY46" i="1"/>
  <c r="AZ46" i="1" s="1"/>
  <c r="BB59" i="1" l="1"/>
  <c r="BC59" i="1" s="1"/>
  <c r="BB120" i="1"/>
  <c r="BC120" i="1" s="1"/>
  <c r="BB17" i="1"/>
  <c r="BC17" i="1" s="1"/>
  <c r="BB27" i="1"/>
  <c r="BC27" i="1" s="1"/>
  <c r="BE38" i="1"/>
  <c r="BB103" i="1"/>
  <c r="BC103" i="1" s="1"/>
  <c r="BB55" i="1"/>
  <c r="BC55" i="1" s="1"/>
  <c r="BB41" i="1"/>
  <c r="BC41" i="1" s="1"/>
  <c r="BB19" i="1"/>
  <c r="BC19" i="1" s="1"/>
  <c r="BB86" i="1"/>
  <c r="BC86" i="1" s="1"/>
  <c r="BB26" i="1"/>
  <c r="BC26" i="1" s="1"/>
  <c r="BB21" i="1"/>
  <c r="BC21" i="1" s="1"/>
  <c r="BB104" i="1"/>
  <c r="BC104" i="1" s="1"/>
  <c r="BB121" i="1"/>
  <c r="BC121" i="1" s="1"/>
  <c r="BB45" i="1"/>
  <c r="BC45" i="1" s="1"/>
  <c r="BB16" i="1"/>
  <c r="BC16" i="1" s="1"/>
  <c r="BB130" i="1"/>
  <c r="BC130" i="1" s="1"/>
  <c r="BB119" i="1"/>
  <c r="BC119" i="1" s="1"/>
  <c r="BB131" i="1"/>
  <c r="BC131" i="1" s="1"/>
  <c r="AT140" i="1"/>
  <c r="AU138" i="1"/>
  <c r="AZ138" i="1" s="1"/>
  <c r="AW138" i="1"/>
  <c r="BB138" i="1" s="1"/>
  <c r="BC138" i="1" s="1"/>
  <c r="AY22" i="1"/>
  <c r="AZ22" i="1" s="1"/>
  <c r="AW22" i="1"/>
  <c r="BB30" i="1"/>
  <c r="BC30" i="1" s="1"/>
  <c r="BB32" i="1"/>
  <c r="BC32" i="1" s="1"/>
  <c r="BB87" i="1"/>
  <c r="BC87" i="1" s="1"/>
  <c r="BB29" i="1"/>
  <c r="BC29" i="1" s="1"/>
  <c r="BB46" i="1"/>
  <c r="BC46" i="1" s="1"/>
  <c r="AW107" i="1"/>
  <c r="AY107" i="1"/>
  <c r="AZ107" i="1" s="1"/>
  <c r="BB106" i="1"/>
  <c r="BC106" i="1" s="1"/>
  <c r="BB56" i="1"/>
  <c r="BC56" i="1" s="1"/>
  <c r="AY74" i="1"/>
  <c r="AZ74" i="1"/>
  <c r="AW74" i="1"/>
  <c r="BB74" i="1" s="1"/>
  <c r="BC74" i="1" s="1"/>
  <c r="BB73" i="1"/>
  <c r="BC73" i="1" s="1"/>
  <c r="AV110" i="1"/>
  <c r="AV109" i="1"/>
  <c r="AY108" i="1"/>
  <c r="AZ108" i="1" s="1"/>
  <c r="AW108" i="1"/>
  <c r="AV62" i="1"/>
  <c r="AW61" i="1"/>
  <c r="AY61" i="1"/>
  <c r="AZ61" i="1" s="1"/>
  <c r="BB132" i="1"/>
  <c r="BC132" i="1" s="1"/>
  <c r="AZ133" i="1"/>
  <c r="AW133" i="1"/>
  <c r="BB133" i="1" s="1"/>
  <c r="BC133" i="1" s="1"/>
  <c r="AW142" i="1"/>
  <c r="AY142" i="1"/>
  <c r="AZ142" i="1" s="1"/>
  <c r="AZ137" i="1"/>
  <c r="AW137" i="1"/>
  <c r="AV144" i="1"/>
  <c r="AZ143" i="1"/>
  <c r="AW143" i="1"/>
  <c r="AW31" i="1"/>
  <c r="AY31" i="1"/>
  <c r="AZ31" i="1" s="1"/>
  <c r="BB129" i="1"/>
  <c r="BC129" i="1" s="1"/>
  <c r="AY47" i="1"/>
  <c r="AZ47" i="1" s="1"/>
  <c r="AW47" i="1"/>
  <c r="AV89" i="1"/>
  <c r="AY88" i="1"/>
  <c r="AZ88" i="1" s="1"/>
  <c r="AW88" i="1"/>
  <c r="AV75" i="1"/>
  <c r="BB143" i="1"/>
  <c r="BC143" i="1" s="1"/>
  <c r="BB141" i="1"/>
  <c r="BC141" i="1" s="1"/>
  <c r="BB18" i="1"/>
  <c r="BC18" i="1" s="1"/>
  <c r="AV50" i="1"/>
  <c r="AW48" i="1"/>
  <c r="AV49" i="1"/>
  <c r="AV63" i="1"/>
  <c r="AY48" i="1"/>
  <c r="AZ48" i="1" s="1"/>
  <c r="AY34" i="1"/>
  <c r="AZ34" i="1"/>
  <c r="AV35" i="1"/>
  <c r="AW34" i="1"/>
  <c r="BB20" i="1"/>
  <c r="BC20" i="1" s="1"/>
  <c r="BB122" i="1"/>
  <c r="BC122" i="1" s="1"/>
  <c r="BB60" i="1"/>
  <c r="BC60" i="1" s="1"/>
  <c r="BB105" i="1"/>
  <c r="BC105" i="1" s="1"/>
  <c r="BB58" i="1"/>
  <c r="BC58" i="1" s="1"/>
  <c r="AU139" i="1"/>
  <c r="AZ139" i="1" s="1"/>
  <c r="AW139" i="1"/>
  <c r="BB139" i="1" s="1"/>
  <c r="BC139" i="1" s="1"/>
  <c r="AY33" i="1"/>
  <c r="AZ33" i="1" s="1"/>
  <c r="AW33" i="1"/>
  <c r="BB15" i="1"/>
  <c r="BC15" i="1" s="1"/>
  <c r="BB118" i="1"/>
  <c r="BC118" i="1" s="1"/>
  <c r="BC124" i="1" s="1"/>
  <c r="BB40" i="1"/>
  <c r="BC40" i="1" s="1"/>
  <c r="BB13" i="1"/>
  <c r="BC13" i="1" s="1"/>
  <c r="BB42" i="1"/>
  <c r="BC42" i="1" s="1"/>
  <c r="BB102" i="1"/>
  <c r="BC102" i="1" s="1"/>
  <c r="BB72" i="1"/>
  <c r="BC72" i="1" s="1"/>
  <c r="BB127" i="1"/>
  <c r="BC127" i="1" s="1"/>
  <c r="BB44" i="1"/>
  <c r="BC44" i="1" s="1"/>
  <c r="BB71" i="1"/>
  <c r="BC71" i="1" s="1"/>
  <c r="BB43" i="1"/>
  <c r="BC43" i="1" s="1"/>
  <c r="BB126" i="1"/>
  <c r="BC126" i="1" s="1"/>
  <c r="BB28" i="1"/>
  <c r="BC28" i="1" s="1"/>
  <c r="BB117" i="1"/>
  <c r="BC117" i="1" s="1"/>
  <c r="BB34" i="1" l="1"/>
  <c r="BC34" i="1" s="1"/>
  <c r="BC36" i="1" s="1"/>
  <c r="BB33" i="1"/>
  <c r="BC33" i="1" s="1"/>
  <c r="BB142" i="1"/>
  <c r="BC142" i="1" s="1"/>
  <c r="BB47" i="1"/>
  <c r="BC47" i="1" s="1"/>
  <c r="BC23" i="1"/>
  <c r="AY49" i="1"/>
  <c r="AZ49" i="1" s="1"/>
  <c r="AW49" i="1"/>
  <c r="BB48" i="1"/>
  <c r="BC48" i="1" s="1"/>
  <c r="BC123" i="1"/>
  <c r="BC125" i="1" s="1"/>
  <c r="E158" i="1"/>
  <c r="I158" i="1" s="1"/>
  <c r="AV51" i="1"/>
  <c r="AW50" i="1"/>
  <c r="AY50" i="1"/>
  <c r="AZ50" i="1" s="1"/>
  <c r="AV65" i="1"/>
  <c r="AV64" i="1"/>
  <c r="AY63" i="1"/>
  <c r="AW63" i="1"/>
  <c r="AZ63" i="1"/>
  <c r="BB108" i="1"/>
  <c r="BC108" i="1" s="1"/>
  <c r="AY109" i="1"/>
  <c r="AZ109" i="1" s="1"/>
  <c r="AW109" i="1"/>
  <c r="BC134" i="1"/>
  <c r="BC136" i="1" s="1"/>
  <c r="AV111" i="1"/>
  <c r="AY110" i="1"/>
  <c r="AZ110" i="1" s="1"/>
  <c r="AV112" i="1"/>
  <c r="AW110" i="1"/>
  <c r="BB22" i="1"/>
  <c r="BC22" i="1" s="1"/>
  <c r="BC24" i="1" s="1"/>
  <c r="AY35" i="1"/>
  <c r="AZ35" i="1" s="1"/>
  <c r="AW35" i="1"/>
  <c r="AW75" i="1"/>
  <c r="AV77" i="1"/>
  <c r="AV76" i="1"/>
  <c r="AY75" i="1"/>
  <c r="AV90" i="1"/>
  <c r="AZ75" i="1"/>
  <c r="BB31" i="1"/>
  <c r="BC31" i="1" s="1"/>
  <c r="BB107" i="1"/>
  <c r="BC107" i="1" s="1"/>
  <c r="BC135" i="1"/>
  <c r="BB88" i="1"/>
  <c r="BC88" i="1" s="1"/>
  <c r="AZ144" i="1"/>
  <c r="AW144" i="1"/>
  <c r="BB144" i="1" s="1"/>
  <c r="BC144" i="1" s="1"/>
  <c r="BB61" i="1"/>
  <c r="BC61" i="1" s="1"/>
  <c r="AY89" i="1"/>
  <c r="AZ89" i="1" s="1"/>
  <c r="AW89" i="1"/>
  <c r="BB137" i="1"/>
  <c r="BC137" i="1" s="1"/>
  <c r="BC145" i="1" s="1"/>
  <c r="AY62" i="1"/>
  <c r="AZ62" i="1" s="1"/>
  <c r="AW62" i="1"/>
  <c r="AU140" i="1"/>
  <c r="AZ140" i="1" s="1"/>
  <c r="AW140" i="1" l="1"/>
  <c r="BB140" i="1" s="1"/>
  <c r="BC140" i="1" s="1"/>
  <c r="BC146" i="1" s="1"/>
  <c r="BC147" i="1" s="1"/>
  <c r="D159" i="1" s="1"/>
  <c r="AY64" i="1"/>
  <c r="AZ64" i="1" s="1"/>
  <c r="AW64" i="1"/>
  <c r="AV91" i="1"/>
  <c r="AY90" i="1"/>
  <c r="AW90" i="1"/>
  <c r="AZ90" i="1"/>
  <c r="BB49" i="1"/>
  <c r="BC49" i="1" s="1"/>
  <c r="AY111" i="1"/>
  <c r="AZ111" i="1" s="1"/>
  <c r="AW111" i="1"/>
  <c r="BB35" i="1"/>
  <c r="BC35" i="1" s="1"/>
  <c r="E154" i="1" s="1"/>
  <c r="I154" i="1" s="1"/>
  <c r="C159" i="1"/>
  <c r="AV66" i="1"/>
  <c r="AY65" i="1"/>
  <c r="AZ65" i="1" s="1"/>
  <c r="AW65" i="1"/>
  <c r="BC25" i="1"/>
  <c r="BB110" i="1"/>
  <c r="BC110" i="1" s="1"/>
  <c r="AV113" i="1"/>
  <c r="AY112" i="1"/>
  <c r="AW112" i="1"/>
  <c r="AZ112" i="1"/>
  <c r="BB75" i="1"/>
  <c r="BC75" i="1" s="1"/>
  <c r="AY51" i="1"/>
  <c r="AZ51" i="1" s="1"/>
  <c r="AW51" i="1"/>
  <c r="AW77" i="1"/>
  <c r="AV92" i="1"/>
  <c r="AV79" i="1"/>
  <c r="AV78" i="1"/>
  <c r="AY77" i="1"/>
  <c r="AZ77" i="1" s="1"/>
  <c r="BB62" i="1"/>
  <c r="BC62" i="1" s="1"/>
  <c r="BB109" i="1"/>
  <c r="BC109" i="1" s="1"/>
  <c r="BB89" i="1"/>
  <c r="BC89" i="1" s="1"/>
  <c r="BB63" i="1"/>
  <c r="BC63" i="1" s="1"/>
  <c r="AY76" i="1"/>
  <c r="AZ76" i="1" s="1"/>
  <c r="AW76" i="1"/>
  <c r="BB50" i="1"/>
  <c r="BC50" i="1" s="1"/>
  <c r="BC52" i="1" s="1"/>
  <c r="E159" i="1" l="1"/>
  <c r="I159" i="1" s="1"/>
  <c r="BB51" i="1"/>
  <c r="BC51" i="1" s="1"/>
  <c r="BC53" i="1" s="1"/>
  <c r="BC54" i="1" s="1"/>
  <c r="BB65" i="1"/>
  <c r="BC65" i="1" s="1"/>
  <c r="BC67" i="1" s="1"/>
  <c r="BB90" i="1"/>
  <c r="BC90" i="1" s="1"/>
  <c r="AY91" i="1"/>
  <c r="AZ91" i="1" s="1"/>
  <c r="AW91" i="1"/>
  <c r="C154" i="1"/>
  <c r="AY66" i="1"/>
  <c r="AZ66" i="1" s="1"/>
  <c r="AW66" i="1"/>
  <c r="BC148" i="1"/>
  <c r="BC37" i="1"/>
  <c r="BC38" i="1" s="1"/>
  <c r="D154" i="1" s="1"/>
  <c r="AW113" i="1"/>
  <c r="AY113" i="1"/>
  <c r="AZ113" i="1" s="1"/>
  <c r="BB77" i="1"/>
  <c r="BC77" i="1" s="1"/>
  <c r="AV81" i="1"/>
  <c r="AW79" i="1"/>
  <c r="AV94" i="1"/>
  <c r="AY79" i="1"/>
  <c r="AZ79" i="1" s="1"/>
  <c r="AV80" i="1"/>
  <c r="BB112" i="1"/>
  <c r="BC112" i="1" s="1"/>
  <c r="BC114" i="1" s="1"/>
  <c r="BB111" i="1"/>
  <c r="BC111" i="1" s="1"/>
  <c r="BB64" i="1"/>
  <c r="BC64" i="1" s="1"/>
  <c r="AY78" i="1"/>
  <c r="AW78" i="1"/>
  <c r="AZ78" i="1"/>
  <c r="BB76" i="1"/>
  <c r="BC76" i="1" s="1"/>
  <c r="AV93" i="1"/>
  <c r="AY92" i="1"/>
  <c r="AW92" i="1"/>
  <c r="AZ92" i="1"/>
  <c r="C155" i="1" l="1"/>
  <c r="BB91" i="1"/>
  <c r="BC91" i="1" s="1"/>
  <c r="BB92" i="1"/>
  <c r="BC92" i="1" s="1"/>
  <c r="E156" i="1"/>
  <c r="I156" i="1" s="1"/>
  <c r="AW94" i="1"/>
  <c r="AV95" i="1"/>
  <c r="AY94" i="1"/>
  <c r="AZ94" i="1"/>
  <c r="BB113" i="1"/>
  <c r="BC113" i="1" s="1"/>
  <c r="BC115" i="1" s="1"/>
  <c r="BC116" i="1" s="1"/>
  <c r="AW80" i="1"/>
  <c r="AY80" i="1"/>
  <c r="AZ80" i="1" s="1"/>
  <c r="BB66" i="1"/>
  <c r="BC66" i="1" s="1"/>
  <c r="BC68" i="1" s="1"/>
  <c r="BC69" i="1" s="1"/>
  <c r="AY93" i="1"/>
  <c r="AZ93" i="1"/>
  <c r="AW93" i="1"/>
  <c r="BB93" i="1" s="1"/>
  <c r="BC93" i="1" s="1"/>
  <c r="BB78" i="1"/>
  <c r="BC78" i="1" s="1"/>
  <c r="BB79" i="1"/>
  <c r="BC79" i="1" s="1"/>
  <c r="AV96" i="1"/>
  <c r="AV82" i="1"/>
  <c r="AY81" i="1"/>
  <c r="AW81" i="1"/>
  <c r="AZ81" i="1"/>
  <c r="BC39" i="1"/>
  <c r="E155" i="1" l="1"/>
  <c r="I155" i="1" s="1"/>
  <c r="D155" i="1"/>
  <c r="BC70" i="1"/>
  <c r="AY95" i="1"/>
  <c r="AW95" i="1"/>
  <c r="AZ95" i="1"/>
  <c r="BB81" i="1"/>
  <c r="BC81" i="1" s="1"/>
  <c r="BC83" i="1" s="1"/>
  <c r="AW82" i="1"/>
  <c r="AY82" i="1"/>
  <c r="AZ82" i="1"/>
  <c r="BB80" i="1"/>
  <c r="BC80" i="1" s="1"/>
  <c r="BB94" i="1"/>
  <c r="BC94" i="1" s="1"/>
  <c r="AY96" i="1"/>
  <c r="AZ96" i="1" s="1"/>
  <c r="AV97" i="1"/>
  <c r="AW96" i="1"/>
  <c r="BB95" i="1" l="1"/>
  <c r="BC95" i="1" s="1"/>
  <c r="BB82" i="1"/>
  <c r="BC82" i="1" s="1"/>
  <c r="BC84" i="1" s="1"/>
  <c r="BC85" i="1" s="1"/>
  <c r="AY97" i="1"/>
  <c r="AZ97" i="1" s="1"/>
  <c r="AW97" i="1"/>
  <c r="BB96" i="1"/>
  <c r="BC96" i="1" s="1"/>
  <c r="BC98" i="1" s="1"/>
  <c r="C157" i="1" l="1"/>
  <c r="BB97" i="1"/>
  <c r="BC97" i="1" s="1"/>
  <c r="E157" i="1" s="1"/>
  <c r="I157" i="1" s="1"/>
  <c r="I160" i="1" s="1"/>
  <c r="BC99" i="1" l="1"/>
  <c r="BC100" i="1" s="1"/>
  <c r="D157" i="1" l="1"/>
  <c r="BC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Mathias Schindler</author>
  </authors>
  <commentList>
    <comment ref="F4" authorId="0" shapeId="0" xr:uid="{D9CBE416-BCFA-49C7-9A69-CE574EF88E7D}">
      <text>
        <r>
          <rPr>
            <b/>
            <sz val="9"/>
            <color indexed="81"/>
            <rFont val="Segoe UI"/>
            <family val="2"/>
          </rPr>
          <t>Mathias Schindler:</t>
        </r>
        <r>
          <rPr>
            <sz val="9"/>
            <color indexed="81"/>
            <rFont val="Segoe UI"/>
            <family val="2"/>
          </rPr>
          <t xml:space="preserve">
myagrar (18.10.2024): RoundUp Power Flex 10,47 €/l netto, 480 g Wirkstoff/l</t>
        </r>
      </text>
    </comment>
    <comment ref="T126" authorId="0" shapeId="0" xr:uid="{A23D55E3-FA08-492F-9FE3-A374DD712628}">
      <text>
        <r>
          <rPr>
            <b/>
            <sz val="9"/>
            <color indexed="81"/>
            <rFont val="Segoe UI"/>
            <family val="2"/>
          </rPr>
          <t>Mathias Schindler:</t>
        </r>
        <r>
          <rPr>
            <sz val="9"/>
            <color indexed="81"/>
            <rFont val="Segoe UI"/>
            <family val="2"/>
          </rPr>
          <t xml:space="preserve">
in 30% der Fälle erforderlich</t>
        </r>
      </text>
    </comment>
    <comment ref="AF126" authorId="0" shapeId="0" xr:uid="{836F8443-3749-441F-982A-666C8B70E2C1}">
      <text>
        <r>
          <rPr>
            <b/>
            <sz val="9"/>
            <color indexed="81"/>
            <rFont val="Segoe UI"/>
            <family val="2"/>
          </rPr>
          <t>Mathias Schindler:</t>
        </r>
        <r>
          <rPr>
            <sz val="9"/>
            <color indexed="81"/>
            <rFont val="Segoe UI"/>
            <family val="2"/>
          </rPr>
          <t xml:space="preserve">
in 50% der Fälle erforderlich</t>
        </r>
      </text>
    </comment>
    <comment ref="AU126" authorId="0" shapeId="0" xr:uid="{DF40DB9B-83B1-4C5E-933E-73CA17C888A6}">
      <text>
        <r>
          <rPr>
            <b/>
            <sz val="9"/>
            <color indexed="81"/>
            <rFont val="Segoe UI"/>
            <family val="2"/>
          </rPr>
          <t>Mathias Schindler:</t>
        </r>
        <r>
          <rPr>
            <sz val="9"/>
            <color indexed="81"/>
            <rFont val="Segoe UI"/>
            <family val="2"/>
          </rPr>
          <t xml:space="preserve">
Ertragsverlust wegen 10 Tagen Aussaatverzögerung möglich (Prof. 
Märländer)</t>
        </r>
      </text>
    </comment>
  </commentList>
</comments>
</file>

<file path=xl/sharedStrings.xml><?xml version="1.0" encoding="utf-8"?>
<sst xmlns="http://schemas.openxmlformats.org/spreadsheetml/2006/main" count="214" uniqueCount="95">
  <si>
    <t>Glyphosateinsatz</t>
  </si>
  <si>
    <t>Zahl</t>
  </si>
  <si>
    <t>Menge</t>
  </si>
  <si>
    <t>Preis</t>
  </si>
  <si>
    <t>€/ha</t>
  </si>
  <si>
    <t>Die gelb unterlegten Werte werden per Formel errechnet und dürfen nicht überschrieben werden!</t>
  </si>
  <si>
    <t>Literatur:</t>
  </si>
  <si>
    <t>Glyphosateinsatz in D: ca. 5.000 t/J. auf 37% der Ackerfläche; Einsatz zu 70% auf Ackerflächen, 20% in Obst-, Gemüse- und Weinbau</t>
  </si>
  <si>
    <t>Für den Pauschalausgleich wird angenommen, dass die Ersatzmaßnahmen den gleichen Behandlungserfolg haben und keine Ertragseffekte oder qualitätsbedingte Preiseffekte auftreten.
Treten in individuellen lokalen Situationen solche Effekte auf, kann die Kooperation sich auf Ertragseffekte und ggfs. qualitätsbedingte Preiseffekte einigen und in diesen Feldern eintragen.</t>
  </si>
  <si>
    <t>Mittel:</t>
  </si>
  <si>
    <t>Wirkstoff</t>
  </si>
  <si>
    <t>Masch.kosten:</t>
  </si>
  <si>
    <t>Ausbringung</t>
  </si>
  <si>
    <t xml:space="preserve">Lohnanspruch: </t>
  </si>
  <si>
    <t>Die grün unterlegten Werte könnten in Kooperationen durch Überschreiben angepasst werden.</t>
  </si>
  <si>
    <t>Sonstiges:</t>
  </si>
  <si>
    <t>Kosten Glyphosatanwendung</t>
  </si>
  <si>
    <t>Kultur</t>
  </si>
  <si>
    <t>Zwischen-</t>
  </si>
  <si>
    <t>Vorfrucht*</t>
  </si>
  <si>
    <t>Pflugeinsatz</t>
  </si>
  <si>
    <t>Ersatzmittel</t>
  </si>
  <si>
    <t>Pflug</t>
  </si>
  <si>
    <t>Grubber</t>
  </si>
  <si>
    <t>Scheibenegge</t>
  </si>
  <si>
    <t>Striegel</t>
  </si>
  <si>
    <t>Schlegelmulcher</t>
  </si>
  <si>
    <t>Hacke</t>
  </si>
  <si>
    <t>…………….</t>
  </si>
  <si>
    <t>Ertrag</t>
  </si>
  <si>
    <t>Qualitätseffekte</t>
  </si>
  <si>
    <t>Gesamteffekte</t>
  </si>
  <si>
    <t>finanzieller Nachteil bei Glyphosat-verbot</t>
  </si>
  <si>
    <t>Bsp. für: 
Anteile
 Pflug mögl./
 Pflug n.mögl.</t>
  </si>
  <si>
    <t>Bsp. für:
Anteile des
Anbausystems
an Kultur</t>
  </si>
  <si>
    <t>frucht? *</t>
  </si>
  <si>
    <t>möglich? *</t>
  </si>
  <si>
    <t>Name</t>
  </si>
  <si>
    <t>Kosten</t>
  </si>
  <si>
    <t>Ertrag mit</t>
  </si>
  <si>
    <t>Ertrag ohne</t>
  </si>
  <si>
    <t>Preis mit</t>
  </si>
  <si>
    <t>monetärer</t>
  </si>
  <si>
    <t>Preis-</t>
  </si>
  <si>
    <t>Preis ohne</t>
  </si>
  <si>
    <t>mit</t>
  </si>
  <si>
    <t>ohne</t>
  </si>
  <si>
    <t>mit Glyphosat</t>
  </si>
  <si>
    <t>ohne Glyphosat</t>
  </si>
  <si>
    <t>Glyphosat-</t>
  </si>
  <si>
    <t>Effekt</t>
  </si>
  <si>
    <t>abschlag</t>
  </si>
  <si>
    <t>Glyphosat</t>
  </si>
  <si>
    <t>Anzahl</t>
  </si>
  <si>
    <t>Arb.erl.kosten</t>
  </si>
  <si>
    <t>einsatz</t>
  </si>
  <si>
    <t>Kartoffeln</t>
  </si>
  <si>
    <t>ja</t>
  </si>
  <si>
    <t>Mais</t>
  </si>
  <si>
    <t>nein</t>
  </si>
  <si>
    <t>Sommer-
getreide</t>
  </si>
  <si>
    <t>Winter-
getreide</t>
  </si>
  <si>
    <t>Winter-
raps</t>
  </si>
  <si>
    <t>Zucker-
rüben</t>
  </si>
  <si>
    <t>Durch-
schnitt</t>
  </si>
  <si>
    <t>Ø</t>
  </si>
  <si>
    <t>Kartoffeln Ø insgesamt</t>
  </si>
  <si>
    <t>Mais Ø insgesamt</t>
  </si>
  <si>
    <t>Dikotylizid</t>
  </si>
  <si>
    <t>Sommergetreide Ø insgesamt</t>
  </si>
  <si>
    <t>Wintergetreide Ø insgesamt</t>
  </si>
  <si>
    <t>Graminizid</t>
  </si>
  <si>
    <t>Winterraps Ø insgesamt</t>
  </si>
  <si>
    <t>Zuckerrüben Ø insgesamt</t>
  </si>
  <si>
    <t>Fiktives Beispiel für den Nachteilsausgleich in Ø Fruchtfolge (* nur für beantragte Flächen!)</t>
  </si>
  <si>
    <t>Ausgleichsbetrag *</t>
  </si>
  <si>
    <t>fiktives Beispiel für</t>
  </si>
  <si>
    <t>anteiliger</t>
  </si>
  <si>
    <t>mit Zwisch.fr.**</t>
  </si>
  <si>
    <t>ohne Zw.fr.</t>
  </si>
  <si>
    <t>Ø insgesamt</t>
  </si>
  <si>
    <t>Ø Fruchtfolgeanteil</t>
  </si>
  <si>
    <t>Ausgleich</t>
  </si>
  <si>
    <t>Wintergetr.</t>
  </si>
  <si>
    <t>Sommergetr.</t>
  </si>
  <si>
    <t>Die grün unterlegten Werte sollten in Kooperationen durch Überschreiben angepasst werden.</t>
  </si>
  <si>
    <t>Winterraps</t>
  </si>
  <si>
    <t>Zuckerrüben</t>
  </si>
  <si>
    <t>Ø für die Fruchtfolge *</t>
  </si>
  <si>
    <t>* In ggf. ausgeblendeten Zeilen und Spalten erfolgen Einzelberechnungen mit/ohne Zwischenfrucht,</t>
  </si>
  <si>
    <t xml:space="preserve">   nach verschiedenen Vorfrüchten und mit/ohne Pflugeinsatzmöglichkeit.</t>
  </si>
  <si>
    <t>** nur Mehraufwand für Aufwuchsbekämpfung</t>
  </si>
  <si>
    <t xml:space="preserve">Rückfragen zum Rechenblatt an: </t>
  </si>
  <si>
    <t>mathias.schindler@lwk-niedersachsen.de</t>
  </si>
  <si>
    <t>Nachteil bei Glyphosatverzicht (LWK Stand: 2025-04-15 Differenzrechnung; "NETTO"); Antragsjahr: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</si>
</sst>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0__"/>
    <numFmt numFmtId="165" formatCode="#,##0.0\ &quot;á&quot;"/>
    <numFmt numFmtId="166" formatCode="#,##0\ &quot;g/ha&quot;"/>
    <numFmt numFmtId="167" formatCode="#,##0.00000\ &quot;€/g&quot;"/>
    <numFmt numFmtId="168" formatCode="#,##0.0\ &quot;Arb.gang&quot;"/>
    <numFmt numFmtId="169" formatCode="#,##0.00\ &quot;€/Arb.gang&quot;"/>
    <numFmt numFmtId="170" formatCode="#,##0.00\ &quot;€/AKh&quot;\ "/>
    <numFmt numFmtId="171" formatCode="#,##0.000\ &quot;AKh/ha&quot;"/>
    <numFmt numFmtId="172" formatCode="#,##0.00\ &quot;AKh/ha&quot;"/>
    <numFmt numFmtId="173" formatCode="#,##0.00\ &quot;€/ha&quot;\ "/>
    <numFmt numFmtId="174" formatCode="#,##0.0\ &quot;AKh/ha&quot;"/>
    <numFmt numFmtId="175" formatCode="#,##0.0\ &quot;E./ha&quot;"/>
    <numFmt numFmtId="176" formatCode="#,##0.00\ &quot;€/E.&quot;"/>
    <numFmt numFmtId="177" formatCode="#,##0.0"/>
    <numFmt numFmtId="178" formatCode="0.0"/>
    <numFmt numFmtId="179" formatCode="#,##0.0\ &quot;dt/ha&quot;"/>
    <numFmt numFmtId="180" formatCode="#,##0.00\ &quot;€/dt&quot;\ "/>
    <numFmt numFmtId="181" formatCode="0.0%"/>
    <numFmt numFmtId="182" formatCode="#,##0.00\ &quot;€/ha    &quot;\ "/>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12"/>
      <name val="Arial"/>
      <family val="2"/>
    </font>
    <font>
      <b/>
      <sz val="11"/>
      <name val="Arial"/>
      <family val="2"/>
    </font>
    <font>
      <b/>
      <sz val="12"/>
      <color theme="0"/>
      <name val="Arial"/>
      <family val="2"/>
    </font>
    <font>
      <sz val="10"/>
      <color theme="0"/>
      <name val="Arial"/>
      <family val="2"/>
    </font>
    <font>
      <sz val="11"/>
      <name val="Arial"/>
      <family val="2"/>
    </font>
    <font>
      <b/>
      <sz val="10"/>
      <name val="Arial"/>
      <family val="2"/>
    </font>
    <font>
      <b/>
      <sz val="14"/>
      <name val="Arial"/>
      <family val="2"/>
    </font>
    <font>
      <sz val="12"/>
      <name val="Arial"/>
      <family val="2"/>
    </font>
    <font>
      <b/>
      <sz val="11"/>
      <color rgb="FFFF0000"/>
      <name val="Arial"/>
      <family val="2"/>
    </font>
    <font>
      <u/>
      <sz val="12"/>
      <color theme="10"/>
      <name val="Arial"/>
      <family val="2"/>
    </font>
    <font>
      <b/>
      <sz val="9"/>
      <color indexed="81"/>
      <name val="Segoe UI"/>
      <family val="2"/>
    </font>
    <font>
      <sz val="9"/>
      <color indexed="81"/>
      <name val="Segoe UI"/>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s>
  <borders count="13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auto="1"/>
      </top>
      <bottom style="hair">
        <color auto="1"/>
      </bottom>
      <diagonal/>
    </border>
    <border>
      <left style="thin">
        <color indexed="64"/>
      </left>
      <right style="medium">
        <color indexed="64"/>
      </right>
      <top/>
      <bottom/>
      <diagonal/>
    </border>
    <border>
      <left style="medium">
        <color indexed="64"/>
      </left>
      <right/>
      <top/>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auto="1"/>
      </left>
      <right style="medium">
        <color auto="1"/>
      </right>
      <top style="thin">
        <color auto="1"/>
      </top>
      <bottom style="medium">
        <color auto="1"/>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auto="1"/>
      </left>
      <right style="thin">
        <color auto="1"/>
      </right>
      <top style="medium">
        <color auto="1"/>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auto="1"/>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diagonal/>
    </border>
    <border>
      <left style="thin">
        <color auto="1"/>
      </left>
      <right style="hair">
        <color auto="1"/>
      </right>
      <top/>
      <bottom style="medium">
        <color auto="1"/>
      </bottom>
      <diagonal/>
    </border>
    <border>
      <left style="hair">
        <color indexed="64"/>
      </left>
      <right style="hair">
        <color indexed="64"/>
      </right>
      <top/>
      <bottom style="medium">
        <color indexed="64"/>
      </bottom>
      <diagonal/>
    </border>
    <border>
      <left style="hair">
        <color auto="1"/>
      </left>
      <right style="thin">
        <color auto="1"/>
      </right>
      <top/>
      <bottom style="medium">
        <color auto="1"/>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style="hair">
        <color indexed="64"/>
      </left>
      <right style="thin">
        <color indexed="64"/>
      </right>
      <top style="thin">
        <color indexed="64"/>
      </top>
      <bottom style="hair">
        <color indexed="64"/>
      </bottom>
      <diagonal/>
    </border>
    <border>
      <left style="hair">
        <color indexed="64"/>
      </left>
      <right/>
      <top style="thin">
        <color auto="1"/>
      </top>
      <bottom style="hair">
        <color auto="1"/>
      </bottom>
      <diagonal/>
    </border>
    <border>
      <left style="thin">
        <color indexed="64"/>
      </left>
      <right style="medium">
        <color indexed="64"/>
      </right>
      <top style="thin">
        <color auto="1"/>
      </top>
      <bottom style="hair">
        <color auto="1"/>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auto="1"/>
      </right>
      <top style="thin">
        <color auto="1"/>
      </top>
      <bottom style="medium">
        <color auto="1"/>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auto="1"/>
      </left>
      <right style="hair">
        <color auto="1"/>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auto="1"/>
      </left>
      <right style="thin">
        <color auto="1"/>
      </right>
      <top style="hair">
        <color indexed="64"/>
      </top>
      <bottom style="medium">
        <color indexed="64"/>
      </bottom>
      <diagonal/>
    </border>
    <border>
      <left style="thin">
        <color indexed="64"/>
      </left>
      <right style="medium">
        <color indexed="64"/>
      </right>
      <top style="hair">
        <color indexed="64"/>
      </top>
      <bottom style="medium">
        <color auto="1"/>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medium">
        <color auto="1"/>
      </left>
      <right style="thin">
        <color indexed="64"/>
      </right>
      <top style="hair">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cellStyleXfs>
  <cellXfs count="384">
    <xf numFmtId="0" fontId="0" fillId="0" borderId="0" xfId="0"/>
    <xf numFmtId="0" fontId="4" fillId="0" borderId="0" xfId="3" applyFont="1" applyAlignment="1">
      <alignment horizontal="left" vertical="center"/>
    </xf>
    <xf numFmtId="0" fontId="4" fillId="0" borderId="0" xfId="3" applyFont="1" applyAlignment="1">
      <alignment vertical="center"/>
    </xf>
    <xf numFmtId="0" fontId="4" fillId="0" borderId="0" xfId="3" applyFont="1" applyAlignment="1">
      <alignment horizontal="center" vertical="center"/>
    </xf>
    <xf numFmtId="0" fontId="3" fillId="0" borderId="0" xfId="3" applyAlignment="1">
      <alignment vertical="center"/>
    </xf>
    <xf numFmtId="0" fontId="4" fillId="0" borderId="1" xfId="3" applyFont="1" applyBorder="1" applyAlignment="1">
      <alignment horizontal="left" vertical="center"/>
    </xf>
    <xf numFmtId="0" fontId="4" fillId="0" borderId="2" xfId="3" applyFont="1" applyBorder="1" applyAlignment="1">
      <alignmen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5" xfId="3" applyFont="1" applyBorder="1" applyAlignment="1">
      <alignment vertical="center"/>
    </xf>
    <xf numFmtId="0" fontId="5" fillId="0" borderId="2" xfId="3" applyFont="1" applyBorder="1" applyAlignment="1">
      <alignment vertical="center"/>
    </xf>
    <xf numFmtId="164" fontId="5" fillId="0" borderId="6" xfId="3" applyNumberFormat="1" applyFont="1" applyBorder="1" applyAlignment="1">
      <alignment horizontal="center" vertical="center"/>
    </xf>
    <xf numFmtId="0" fontId="6" fillId="0" borderId="0" xfId="4" applyFont="1" applyAlignment="1">
      <alignment vertical="center"/>
    </xf>
    <xf numFmtId="0" fontId="7" fillId="0" borderId="0" xfId="4" applyFont="1" applyAlignment="1">
      <alignment vertical="center"/>
    </xf>
    <xf numFmtId="0" fontId="3" fillId="0" borderId="7" xfId="3" applyBorder="1" applyAlignment="1">
      <alignment horizontal="left" vertical="center"/>
    </xf>
    <xf numFmtId="0" fontId="3" fillId="0" borderId="8" xfId="3" applyBorder="1" applyAlignment="1">
      <alignment vertical="center"/>
    </xf>
    <xf numFmtId="165" fontId="3" fillId="4" borderId="9" xfId="3" applyNumberFormat="1" applyFill="1" applyBorder="1" applyAlignment="1">
      <alignment horizontal="center" vertical="center"/>
    </xf>
    <xf numFmtId="166" fontId="3" fillId="4" borderId="10" xfId="3" applyNumberFormat="1" applyFill="1" applyBorder="1" applyAlignment="1">
      <alignment horizontal="center" vertical="center"/>
    </xf>
    <xf numFmtId="164" fontId="3" fillId="2" borderId="13" xfId="3" applyNumberFormat="1" applyFill="1" applyBorder="1" applyAlignment="1">
      <alignment horizontal="right" vertical="center"/>
    </xf>
    <xf numFmtId="4" fontId="3" fillId="0" borderId="0" xfId="3" applyNumberFormat="1" applyAlignment="1">
      <alignment horizontal="center" vertical="center"/>
    </xf>
    <xf numFmtId="0" fontId="3" fillId="0" borderId="14" xfId="3" applyBorder="1" applyAlignment="1">
      <alignment horizontal="left" vertical="center"/>
    </xf>
    <xf numFmtId="165" fontId="3" fillId="4" borderId="15" xfId="3" applyNumberFormat="1" applyFill="1" applyBorder="1" applyAlignment="1">
      <alignment horizontal="center" vertical="center"/>
    </xf>
    <xf numFmtId="168" fontId="3" fillId="2" borderId="16" xfId="3" applyNumberFormat="1" applyFill="1" applyBorder="1" applyAlignment="1">
      <alignment horizontal="center" vertical="center"/>
    </xf>
    <xf numFmtId="164" fontId="3" fillId="2" borderId="19" xfId="3" applyNumberFormat="1" applyFill="1" applyBorder="1" applyAlignment="1">
      <alignment horizontal="right" vertical="center"/>
    </xf>
    <xf numFmtId="170" fontId="3" fillId="4" borderId="8" xfId="3" applyNumberFormat="1" applyFill="1" applyBorder="1" applyAlignment="1">
      <alignment vertical="center"/>
    </xf>
    <xf numFmtId="171" fontId="3" fillId="4" borderId="16" xfId="3" applyNumberFormat="1" applyFill="1" applyBorder="1" applyAlignment="1">
      <alignment horizontal="center" vertical="center"/>
    </xf>
    <xf numFmtId="0" fontId="3" fillId="0" borderId="22" xfId="3" applyBorder="1" applyAlignment="1">
      <alignment horizontal="left" vertical="center"/>
    </xf>
    <xf numFmtId="0" fontId="3" fillId="0" borderId="23" xfId="3" applyBorder="1" applyAlignment="1">
      <alignment vertical="center"/>
    </xf>
    <xf numFmtId="0" fontId="3" fillId="0" borderId="24" xfId="3" applyBorder="1" applyAlignment="1">
      <alignment horizontal="center" vertical="center"/>
    </xf>
    <xf numFmtId="172" fontId="3" fillId="0" borderId="25" xfId="3" applyNumberFormat="1" applyBorder="1" applyAlignment="1">
      <alignment horizontal="center" vertical="center"/>
    </xf>
    <xf numFmtId="0" fontId="3" fillId="0" borderId="26" xfId="3" applyBorder="1" applyAlignment="1">
      <alignment vertical="center"/>
    </xf>
    <xf numFmtId="0" fontId="3" fillId="0" borderId="24" xfId="3" applyBorder="1" applyAlignment="1">
      <alignment vertical="center"/>
    </xf>
    <xf numFmtId="164" fontId="3" fillId="2" borderId="27" xfId="3" applyNumberFormat="1" applyFill="1" applyBorder="1" applyAlignment="1">
      <alignment horizontal="right" vertical="center"/>
    </xf>
    <xf numFmtId="170" fontId="3" fillId="0" borderId="0" xfId="3" applyNumberFormat="1" applyAlignment="1">
      <alignment vertical="center"/>
    </xf>
    <xf numFmtId="0" fontId="5" fillId="0" borderId="28" xfId="3" applyFont="1" applyBorder="1" applyAlignment="1">
      <alignment horizontal="left" vertical="center"/>
    </xf>
    <xf numFmtId="0" fontId="8" fillId="0" borderId="29" xfId="3" applyFont="1" applyBorder="1" applyAlignment="1">
      <alignment vertical="center"/>
    </xf>
    <xf numFmtId="0" fontId="8" fillId="0" borderId="29" xfId="3" applyFont="1" applyBorder="1" applyAlignment="1">
      <alignment horizontal="center" vertical="center"/>
    </xf>
    <xf numFmtId="172" fontId="8" fillId="0" borderId="30" xfId="3" applyNumberFormat="1" applyFont="1" applyBorder="1" applyAlignment="1">
      <alignment horizontal="center" vertical="center"/>
    </xf>
    <xf numFmtId="173" fontId="3" fillId="2" borderId="31" xfId="3" applyNumberFormat="1" applyFill="1" applyBorder="1" applyAlignment="1">
      <alignment horizontal="center" vertical="center"/>
    </xf>
    <xf numFmtId="4" fontId="5" fillId="0" borderId="0" xfId="3" applyNumberFormat="1" applyFont="1" applyAlignment="1">
      <alignment horizontal="center" vertical="center"/>
    </xf>
    <xf numFmtId="0" fontId="8" fillId="0" borderId="33" xfId="3" applyFont="1" applyBorder="1" applyAlignment="1">
      <alignment horizontal="center" vertical="center"/>
    </xf>
    <xf numFmtId="0" fontId="3" fillId="0" borderId="34" xfId="3" applyBorder="1" applyAlignment="1">
      <alignment horizontal="center" vertical="center"/>
    </xf>
    <xf numFmtId="0" fontId="8" fillId="0" borderId="35" xfId="3" applyFont="1" applyBorder="1" applyAlignment="1">
      <alignment horizontal="center" vertical="center"/>
    </xf>
    <xf numFmtId="0" fontId="8" fillId="5" borderId="35" xfId="3" applyFont="1" applyFill="1" applyBorder="1" applyAlignment="1">
      <alignment horizontal="center" vertical="center"/>
    </xf>
    <xf numFmtId="0" fontId="8" fillId="0" borderId="43" xfId="3" applyFont="1" applyBorder="1" applyAlignment="1">
      <alignment horizontal="left" vertical="center"/>
    </xf>
    <xf numFmtId="0" fontId="3" fillId="0" borderId="44" xfId="3" applyBorder="1" applyAlignment="1">
      <alignment horizontal="center" vertical="center"/>
    </xf>
    <xf numFmtId="0" fontId="3" fillId="0" borderId="45" xfId="3" applyBorder="1" applyAlignment="1">
      <alignment vertical="center"/>
    </xf>
    <xf numFmtId="0" fontId="8" fillId="5" borderId="45" xfId="3" applyFont="1" applyFill="1" applyBorder="1" applyAlignment="1">
      <alignment horizontal="center" vertical="center"/>
    </xf>
    <xf numFmtId="0" fontId="8" fillId="0" borderId="46" xfId="3" applyFont="1" applyBorder="1" applyAlignment="1">
      <alignment horizontal="center" vertical="center"/>
    </xf>
    <xf numFmtId="0" fontId="8" fillId="0" borderId="47" xfId="3" applyFont="1" applyBorder="1" applyAlignment="1">
      <alignment horizontal="center" vertical="center"/>
    </xf>
    <xf numFmtId="0" fontId="8" fillId="0" borderId="48" xfId="3" applyFont="1" applyBorder="1" applyAlignment="1">
      <alignment horizontal="center" vertical="center"/>
    </xf>
    <xf numFmtId="0" fontId="8" fillId="0" borderId="30" xfId="3" applyFont="1" applyBorder="1" applyAlignment="1">
      <alignment horizontal="center" vertical="center"/>
    </xf>
    <xf numFmtId="173" fontId="3" fillId="0" borderId="53" xfId="3" applyNumberFormat="1" applyBorder="1" applyAlignment="1">
      <alignment horizontal="center" vertical="center"/>
    </xf>
    <xf numFmtId="173" fontId="3" fillId="0" borderId="15" xfId="3" applyNumberFormat="1" applyBorder="1" applyAlignment="1">
      <alignment horizontal="center" vertical="center"/>
    </xf>
    <xf numFmtId="173" fontId="3" fillId="0" borderId="54" xfId="3" applyNumberFormat="1" applyBorder="1" applyAlignment="1">
      <alignment horizontal="center" vertical="center"/>
    </xf>
    <xf numFmtId="173" fontId="3" fillId="0" borderId="0" xfId="3" applyNumberFormat="1" applyAlignment="1">
      <alignment horizontal="center" vertical="center"/>
    </xf>
    <xf numFmtId="173" fontId="3" fillId="0" borderId="44" xfId="3" applyNumberFormat="1" applyBorder="1" applyAlignment="1">
      <alignment horizontal="center" vertical="center"/>
    </xf>
    <xf numFmtId="0" fontId="3" fillId="0" borderId="45" xfId="3" applyBorder="1" applyAlignment="1">
      <alignment horizontal="center" vertical="center"/>
    </xf>
    <xf numFmtId="0" fontId="8" fillId="0" borderId="45" xfId="3" applyFont="1" applyBorder="1" applyAlignment="1">
      <alignment horizontal="center" vertical="center"/>
    </xf>
    <xf numFmtId="174" fontId="3" fillId="0" borderId="55" xfId="3" applyNumberFormat="1" applyBorder="1" applyAlignment="1">
      <alignment vertical="center"/>
    </xf>
    <xf numFmtId="174" fontId="3" fillId="0" borderId="56" xfId="3" applyNumberFormat="1" applyBorder="1" applyAlignment="1">
      <alignment vertical="center"/>
    </xf>
    <xf numFmtId="174" fontId="3" fillId="0" borderId="57" xfId="3" applyNumberFormat="1" applyBorder="1" applyAlignment="1">
      <alignment vertical="center"/>
    </xf>
    <xf numFmtId="174" fontId="3" fillId="0" borderId="58" xfId="3" applyNumberFormat="1" applyBorder="1" applyAlignment="1">
      <alignment vertical="center"/>
    </xf>
    <xf numFmtId="173" fontId="3" fillId="0" borderId="45" xfId="3" applyNumberFormat="1" applyBorder="1" applyAlignment="1">
      <alignment horizontal="center" vertical="center"/>
    </xf>
    <xf numFmtId="0" fontId="8" fillId="0" borderId="60" xfId="3" applyFont="1" applyBorder="1" applyAlignment="1">
      <alignment horizontal="left" vertical="center"/>
    </xf>
    <xf numFmtId="0" fontId="3" fillId="0" borderId="61" xfId="3" applyBorder="1" applyAlignment="1">
      <alignment horizontal="center" vertical="center"/>
    </xf>
    <xf numFmtId="0" fontId="3" fillId="0" borderId="62" xfId="3" applyBorder="1" applyAlignment="1">
      <alignment vertical="center"/>
    </xf>
    <xf numFmtId="0" fontId="8" fillId="0" borderId="62" xfId="3" applyFont="1" applyBorder="1" applyAlignment="1">
      <alignment horizontal="center" vertical="center"/>
    </xf>
    <xf numFmtId="173" fontId="3" fillId="0" borderId="46" xfId="3" applyNumberFormat="1" applyBorder="1" applyAlignment="1">
      <alignment horizontal="center" vertical="center"/>
    </xf>
    <xf numFmtId="173" fontId="3" fillId="0" borderId="63" xfId="3" applyNumberFormat="1" applyBorder="1" applyAlignment="1">
      <alignment horizontal="center" vertical="center"/>
    </xf>
    <xf numFmtId="173" fontId="3" fillId="0" borderId="47" xfId="3" applyNumberFormat="1" applyBorder="1" applyAlignment="1">
      <alignment horizontal="center" vertical="center"/>
    </xf>
    <xf numFmtId="173" fontId="3" fillId="0" borderId="64" xfId="3" applyNumberFormat="1" applyBorder="1" applyAlignment="1">
      <alignment horizontal="center" vertical="center"/>
    </xf>
    <xf numFmtId="173" fontId="3" fillId="0" borderId="65" xfId="3" applyNumberFormat="1" applyBorder="1" applyAlignment="1">
      <alignment horizontal="center" vertical="center"/>
    </xf>
    <xf numFmtId="173" fontId="3" fillId="0" borderId="66" xfId="3" applyNumberFormat="1" applyBorder="1" applyAlignment="1">
      <alignment horizontal="center" vertical="center"/>
    </xf>
    <xf numFmtId="173" fontId="3" fillId="0" borderId="32" xfId="3" applyNumberFormat="1" applyBorder="1" applyAlignment="1">
      <alignment horizontal="center" vertical="center"/>
    </xf>
    <xf numFmtId="173" fontId="3" fillId="0" borderId="61" xfId="3" applyNumberFormat="1" applyBorder="1" applyAlignment="1">
      <alignment horizontal="center" vertical="center"/>
    </xf>
    <xf numFmtId="0" fontId="4" fillId="0" borderId="33" xfId="3" applyFont="1" applyBorder="1" applyAlignment="1">
      <alignment horizontal="left" vertical="center"/>
    </xf>
    <xf numFmtId="0" fontId="3" fillId="0" borderId="68" xfId="3" applyBorder="1" applyAlignment="1">
      <alignment horizontal="center" vertical="center"/>
    </xf>
    <xf numFmtId="0" fontId="3" fillId="4" borderId="69" xfId="3" applyFill="1" applyBorder="1" applyAlignment="1">
      <alignment vertical="center"/>
    </xf>
    <xf numFmtId="175" fontId="3" fillId="4" borderId="70" xfId="3" applyNumberFormat="1" applyFill="1" applyBorder="1" applyAlignment="1">
      <alignment horizontal="center" vertical="center"/>
    </xf>
    <xf numFmtId="176" fontId="3" fillId="4" borderId="71" xfId="3" applyNumberFormat="1" applyFill="1" applyBorder="1" applyAlignment="1">
      <alignment vertical="center"/>
    </xf>
    <xf numFmtId="173" fontId="3" fillId="2" borderId="72" xfId="3" applyNumberFormat="1" applyFill="1" applyBorder="1" applyAlignment="1">
      <alignment horizontal="center" vertical="center"/>
    </xf>
    <xf numFmtId="177" fontId="3" fillId="4" borderId="69" xfId="3" applyNumberFormat="1" applyFill="1" applyBorder="1" applyAlignment="1">
      <alignment horizontal="center" vertical="center"/>
    </xf>
    <xf numFmtId="173" fontId="3" fillId="2" borderId="71" xfId="3" applyNumberFormat="1" applyFill="1" applyBorder="1" applyAlignment="1">
      <alignment horizontal="center" vertical="center"/>
    </xf>
    <xf numFmtId="178" fontId="3" fillId="4" borderId="70" xfId="4" applyNumberFormat="1" applyFill="1" applyBorder="1" applyAlignment="1">
      <alignment horizontal="center" vertical="center"/>
    </xf>
    <xf numFmtId="179" fontId="3" fillId="3" borderId="69" xfId="3" applyNumberFormat="1" applyFill="1" applyBorder="1" applyAlignment="1">
      <alignment horizontal="center" vertical="center"/>
    </xf>
    <xf numFmtId="179" fontId="3" fillId="3" borderId="70" xfId="3" applyNumberFormat="1" applyFill="1" applyBorder="1" applyAlignment="1">
      <alignment horizontal="center" vertical="center"/>
    </xf>
    <xf numFmtId="180" fontId="3" fillId="3" borderId="70" xfId="3" applyNumberFormat="1" applyFill="1" applyBorder="1" applyAlignment="1">
      <alignment horizontal="center" vertical="center"/>
    </xf>
    <xf numFmtId="180" fontId="3" fillId="3" borderId="73" xfId="3" applyNumberFormat="1" applyFill="1" applyBorder="1" applyAlignment="1">
      <alignment horizontal="center" vertical="center"/>
    </xf>
    <xf numFmtId="180" fontId="3" fillId="2" borderId="70" xfId="3" applyNumberFormat="1" applyFill="1" applyBorder="1" applyAlignment="1">
      <alignment horizontal="center" vertical="center"/>
    </xf>
    <xf numFmtId="173" fontId="3" fillId="2" borderId="74" xfId="3" applyNumberFormat="1" applyFill="1" applyBorder="1" applyAlignment="1">
      <alignment horizontal="center" vertical="center"/>
    </xf>
    <xf numFmtId="9" fontId="3" fillId="4" borderId="74" xfId="3" applyNumberFormat="1" applyFill="1" applyBorder="1" applyAlignment="1">
      <alignment horizontal="center" vertical="center"/>
    </xf>
    <xf numFmtId="181" fontId="8" fillId="2" borderId="75" xfId="3" applyNumberFormat="1" applyFont="1" applyFill="1" applyBorder="1" applyAlignment="1">
      <alignment horizontal="center" vertical="center"/>
    </xf>
    <xf numFmtId="0" fontId="4" fillId="0" borderId="43" xfId="3" applyFont="1" applyBorder="1" applyAlignment="1">
      <alignment horizontal="left" vertical="center"/>
    </xf>
    <xf numFmtId="0" fontId="3" fillId="0" borderId="76" xfId="3" applyBorder="1" applyAlignment="1">
      <alignment horizontal="center" vertical="center"/>
    </xf>
    <xf numFmtId="0" fontId="3" fillId="4" borderId="77" xfId="3" applyFill="1" applyBorder="1" applyAlignment="1">
      <alignment vertical="center"/>
    </xf>
    <xf numFmtId="175" fontId="3" fillId="4" borderId="78" xfId="3" applyNumberFormat="1" applyFill="1" applyBorder="1" applyAlignment="1">
      <alignment horizontal="center" vertical="center"/>
    </xf>
    <xf numFmtId="176" fontId="3" fillId="4" borderId="79" xfId="3" applyNumberFormat="1" applyFill="1" applyBorder="1" applyAlignment="1">
      <alignment vertical="center"/>
    </xf>
    <xf numFmtId="173" fontId="3" fillId="2" borderId="80" xfId="3" applyNumberFormat="1" applyFill="1" applyBorder="1" applyAlignment="1">
      <alignment horizontal="center" vertical="center"/>
    </xf>
    <xf numFmtId="177" fontId="3" fillId="4" borderId="77" xfId="3" applyNumberFormat="1" applyFill="1" applyBorder="1" applyAlignment="1">
      <alignment horizontal="center" vertical="center"/>
    </xf>
    <xf numFmtId="173" fontId="3" fillId="2" borderId="79" xfId="3" applyNumberFormat="1" applyFill="1" applyBorder="1" applyAlignment="1">
      <alignment horizontal="center" vertical="center"/>
    </xf>
    <xf numFmtId="178" fontId="8" fillId="4" borderId="78" xfId="4" applyNumberFormat="1" applyFont="1" applyFill="1" applyBorder="1" applyAlignment="1">
      <alignment horizontal="center" vertical="center"/>
    </xf>
    <xf numFmtId="179" fontId="3" fillId="3" borderId="77" xfId="3" applyNumberFormat="1" applyFill="1" applyBorder="1" applyAlignment="1">
      <alignment horizontal="center" vertical="center"/>
    </xf>
    <xf numFmtId="179" fontId="3" fillId="3" borderId="78" xfId="3" applyNumberFormat="1" applyFill="1" applyBorder="1" applyAlignment="1">
      <alignment horizontal="center" vertical="center"/>
    </xf>
    <xf numFmtId="180" fontId="3" fillId="3" borderId="78" xfId="3" applyNumberFormat="1" applyFill="1" applyBorder="1" applyAlignment="1">
      <alignment horizontal="center" vertical="center"/>
    </xf>
    <xf numFmtId="180" fontId="3" fillId="3" borderId="25" xfId="3" applyNumberFormat="1" applyFill="1" applyBorder="1" applyAlignment="1">
      <alignment horizontal="center" vertical="center"/>
    </xf>
    <xf numFmtId="180" fontId="3" fillId="2" borderId="78" xfId="3" applyNumberFormat="1" applyFill="1" applyBorder="1" applyAlignment="1">
      <alignment horizontal="center" vertical="center"/>
    </xf>
    <xf numFmtId="173" fontId="3" fillId="2" borderId="81" xfId="3" applyNumberFormat="1" applyFill="1" applyBorder="1" applyAlignment="1">
      <alignment horizontal="center" vertical="center"/>
    </xf>
    <xf numFmtId="9" fontId="3" fillId="2" borderId="81" xfId="3" applyNumberFormat="1" applyFill="1" applyBorder="1" applyAlignment="1">
      <alignment horizontal="center" vertical="center"/>
    </xf>
    <xf numFmtId="181" fontId="8" fillId="2" borderId="27" xfId="3" applyNumberFormat="1" applyFont="1" applyFill="1" applyBorder="1" applyAlignment="1">
      <alignment horizontal="center" vertical="center"/>
    </xf>
    <xf numFmtId="0" fontId="3" fillId="0" borderId="82" xfId="3" applyBorder="1" applyAlignment="1">
      <alignment horizontal="center" vertical="center"/>
    </xf>
    <xf numFmtId="0" fontId="3" fillId="4" borderId="83" xfId="3" applyFill="1" applyBorder="1" applyAlignment="1">
      <alignment vertical="center"/>
    </xf>
    <xf numFmtId="175" fontId="3" fillId="4" borderId="84" xfId="3" applyNumberFormat="1" applyFill="1" applyBorder="1" applyAlignment="1">
      <alignment horizontal="center" vertical="center"/>
    </xf>
    <xf numFmtId="176" fontId="3" fillId="4" borderId="85" xfId="3" applyNumberFormat="1" applyFill="1" applyBorder="1" applyAlignment="1">
      <alignment vertical="center"/>
    </xf>
    <xf numFmtId="173" fontId="3" fillId="2" borderId="12" xfId="3" applyNumberFormat="1" applyFill="1" applyBorder="1" applyAlignment="1">
      <alignment horizontal="center" vertical="center"/>
    </xf>
    <xf numFmtId="177" fontId="3" fillId="4" borderId="83" xfId="3" applyNumberFormat="1" applyFill="1" applyBorder="1" applyAlignment="1">
      <alignment horizontal="center" vertical="center"/>
    </xf>
    <xf numFmtId="173" fontId="3" fillId="2" borderId="85" xfId="3" applyNumberFormat="1" applyFill="1" applyBorder="1" applyAlignment="1">
      <alignment horizontal="center" vertical="center"/>
    </xf>
    <xf numFmtId="178" fontId="3" fillId="4" borderId="84" xfId="4" applyNumberFormat="1" applyFill="1" applyBorder="1" applyAlignment="1">
      <alignment horizontal="center" vertical="center"/>
    </xf>
    <xf numFmtId="173" fontId="3" fillId="2" borderId="86" xfId="3" applyNumberFormat="1" applyFill="1" applyBorder="1" applyAlignment="1">
      <alignment horizontal="center" vertical="center"/>
    </xf>
    <xf numFmtId="179" fontId="3" fillId="3" borderId="83" xfId="3" applyNumberFormat="1" applyFill="1" applyBorder="1" applyAlignment="1">
      <alignment horizontal="center" vertical="center"/>
    </xf>
    <xf numFmtId="179" fontId="3" fillId="3" borderId="84" xfId="3" applyNumberFormat="1" applyFill="1" applyBorder="1" applyAlignment="1">
      <alignment horizontal="center" vertical="center"/>
    </xf>
    <xf numFmtId="180" fontId="3" fillId="3" borderId="84" xfId="3" applyNumberFormat="1" applyFill="1" applyBorder="1" applyAlignment="1">
      <alignment horizontal="center" vertical="center"/>
    </xf>
    <xf numFmtId="180" fontId="3" fillId="3" borderId="87" xfId="3" applyNumberFormat="1" applyFill="1" applyBorder="1" applyAlignment="1">
      <alignment horizontal="center" vertical="center"/>
    </xf>
    <xf numFmtId="180" fontId="3" fillId="2" borderId="84" xfId="3" applyNumberFormat="1" applyFill="1" applyBorder="1" applyAlignment="1">
      <alignment horizontal="center" vertical="center"/>
    </xf>
    <xf numFmtId="9" fontId="3" fillId="4" borderId="12" xfId="3" applyNumberFormat="1" applyFill="1" applyBorder="1" applyAlignment="1">
      <alignment horizontal="center" vertical="center"/>
    </xf>
    <xf numFmtId="181" fontId="8" fillId="2" borderId="88" xfId="3" applyNumberFormat="1" applyFont="1" applyFill="1" applyBorder="1" applyAlignment="1">
      <alignment horizontal="center" vertical="center"/>
    </xf>
    <xf numFmtId="0" fontId="3" fillId="0" borderId="89" xfId="3" applyBorder="1" applyAlignment="1">
      <alignment horizontal="center" vertical="center"/>
    </xf>
    <xf numFmtId="0" fontId="3" fillId="4" borderId="92" xfId="3" applyFill="1" applyBorder="1" applyAlignment="1">
      <alignment vertical="center"/>
    </xf>
    <xf numFmtId="175" fontId="3" fillId="4" borderId="93" xfId="3" applyNumberFormat="1" applyFill="1" applyBorder="1" applyAlignment="1">
      <alignment horizontal="center" vertical="center"/>
    </xf>
    <xf numFmtId="176" fontId="3" fillId="4" borderId="94" xfId="3" applyNumberFormat="1" applyFill="1" applyBorder="1" applyAlignment="1">
      <alignment vertical="center"/>
    </xf>
    <xf numFmtId="173" fontId="3" fillId="2" borderId="18" xfId="3" applyNumberFormat="1" applyFill="1" applyBorder="1" applyAlignment="1">
      <alignment horizontal="center" vertical="center"/>
    </xf>
    <xf numFmtId="177" fontId="3" fillId="4" borderId="92" xfId="3" applyNumberFormat="1" applyFill="1" applyBorder="1" applyAlignment="1">
      <alignment horizontal="center" vertical="center"/>
    </xf>
    <xf numFmtId="173" fontId="3" fillId="2" borderId="94" xfId="3" applyNumberFormat="1" applyFill="1" applyBorder="1" applyAlignment="1">
      <alignment horizontal="center" vertical="center"/>
    </xf>
    <xf numFmtId="178" fontId="8" fillId="4" borderId="93" xfId="4" applyNumberFormat="1" applyFont="1" applyFill="1" applyBorder="1" applyAlignment="1">
      <alignment horizontal="center" vertical="center"/>
    </xf>
    <xf numFmtId="173" fontId="3" fillId="2" borderId="95" xfId="3" applyNumberFormat="1" applyFill="1" applyBorder="1" applyAlignment="1">
      <alignment horizontal="center" vertical="center"/>
    </xf>
    <xf numFmtId="179" fontId="3" fillId="3" borderId="92" xfId="3" applyNumberFormat="1" applyFill="1" applyBorder="1" applyAlignment="1">
      <alignment horizontal="center" vertical="center"/>
    </xf>
    <xf numFmtId="179" fontId="3" fillId="3" borderId="93" xfId="3" applyNumberFormat="1" applyFill="1" applyBorder="1" applyAlignment="1">
      <alignment horizontal="center" vertical="center"/>
    </xf>
    <xf numFmtId="180" fontId="3" fillId="3" borderId="93" xfId="3" applyNumberFormat="1" applyFill="1" applyBorder="1" applyAlignment="1">
      <alignment horizontal="center" vertical="center"/>
    </xf>
    <xf numFmtId="180" fontId="3" fillId="3" borderId="96" xfId="3" applyNumberFormat="1" applyFill="1" applyBorder="1" applyAlignment="1">
      <alignment horizontal="center" vertical="center"/>
    </xf>
    <xf numFmtId="180" fontId="3" fillId="2" borderId="93" xfId="3" applyNumberFormat="1" applyFill="1" applyBorder="1" applyAlignment="1">
      <alignment horizontal="center" vertical="center"/>
    </xf>
    <xf numFmtId="181" fontId="8" fillId="2" borderId="19" xfId="3" applyNumberFormat="1" applyFont="1" applyFill="1" applyBorder="1" applyAlignment="1">
      <alignment horizontal="center" vertical="center"/>
    </xf>
    <xf numFmtId="0" fontId="3" fillId="0" borderId="37" xfId="3" applyBorder="1" applyAlignment="1">
      <alignment vertical="center"/>
    </xf>
    <xf numFmtId="175" fontId="3" fillId="0" borderId="38" xfId="3" applyNumberFormat="1" applyBorder="1" applyAlignment="1">
      <alignment horizontal="center" vertical="center"/>
    </xf>
    <xf numFmtId="176" fontId="3" fillId="0" borderId="38" xfId="3" applyNumberFormat="1" applyBorder="1" applyAlignment="1">
      <alignment vertical="center"/>
    </xf>
    <xf numFmtId="173" fontId="3" fillId="0" borderId="38" xfId="3" applyNumberFormat="1" applyBorder="1" applyAlignment="1">
      <alignment horizontal="center" vertical="center"/>
    </xf>
    <xf numFmtId="177" fontId="3" fillId="0" borderId="38" xfId="3" applyNumberFormat="1" applyBorder="1" applyAlignment="1">
      <alignment horizontal="center" vertical="center"/>
    </xf>
    <xf numFmtId="178" fontId="3" fillId="0" borderId="38" xfId="4" applyNumberFormat="1" applyBorder="1" applyAlignment="1">
      <alignment horizontal="center" vertical="center"/>
    </xf>
    <xf numFmtId="179" fontId="3" fillId="0" borderId="38" xfId="3" applyNumberFormat="1" applyBorder="1" applyAlignment="1">
      <alignment horizontal="center" vertical="center"/>
    </xf>
    <xf numFmtId="180" fontId="3" fillId="0" borderId="38" xfId="3" applyNumberFormat="1" applyBorder="1" applyAlignment="1">
      <alignment horizontal="center" vertical="center"/>
    </xf>
    <xf numFmtId="173" fontId="3" fillId="0" borderId="34" xfId="3" applyNumberFormat="1" applyBorder="1" applyAlignment="1">
      <alignment horizontal="center" vertical="center"/>
    </xf>
    <xf numFmtId="9" fontId="3" fillId="0" borderId="35" xfId="3" applyNumberFormat="1" applyBorder="1" applyAlignment="1">
      <alignment horizontal="center" vertical="center"/>
    </xf>
    <xf numFmtId="0" fontId="3" fillId="0" borderId="97" xfId="3" applyBorder="1" applyAlignment="1">
      <alignment vertical="center"/>
    </xf>
    <xf numFmtId="175" fontId="3" fillId="0" borderId="32" xfId="3" applyNumberFormat="1" applyBorder="1" applyAlignment="1">
      <alignment horizontal="center" vertical="center"/>
    </xf>
    <xf numFmtId="176" fontId="3" fillId="0" borderId="32" xfId="3" applyNumberFormat="1" applyBorder="1" applyAlignment="1">
      <alignment vertical="center"/>
    </xf>
    <xf numFmtId="177" fontId="3" fillId="0" borderId="32" xfId="3" applyNumberFormat="1" applyBorder="1" applyAlignment="1">
      <alignment horizontal="center" vertical="center"/>
    </xf>
    <xf numFmtId="178" fontId="8" fillId="0" borderId="32" xfId="4" applyNumberFormat="1" applyFont="1" applyBorder="1" applyAlignment="1">
      <alignment horizontal="center" vertical="center"/>
    </xf>
    <xf numFmtId="179" fontId="3" fillId="0" borderId="32" xfId="3" applyNumberFormat="1" applyBorder="1" applyAlignment="1">
      <alignment horizontal="center" vertical="center"/>
    </xf>
    <xf numFmtId="180" fontId="3" fillId="0" borderId="32" xfId="3" applyNumberFormat="1" applyBorder="1" applyAlignment="1">
      <alignment horizontal="center" vertical="center"/>
    </xf>
    <xf numFmtId="9" fontId="3" fillId="0" borderId="62" xfId="3" applyNumberFormat="1" applyBorder="1" applyAlignment="1">
      <alignment horizontal="center" vertical="center"/>
    </xf>
    <xf numFmtId="0" fontId="5" fillId="0" borderId="98" xfId="3" applyFont="1" applyBorder="1" applyAlignment="1">
      <alignment horizontal="center" vertical="center"/>
    </xf>
    <xf numFmtId="0" fontId="5" fillId="0" borderId="99" xfId="3" applyFont="1" applyBorder="1" applyAlignment="1">
      <alignment vertical="center"/>
    </xf>
    <xf numFmtId="173" fontId="5" fillId="2" borderId="100" xfId="3" applyNumberFormat="1" applyFont="1" applyFill="1" applyBorder="1" applyAlignment="1">
      <alignment horizontal="center" vertical="center"/>
    </xf>
    <xf numFmtId="9" fontId="5" fillId="0" borderId="99" xfId="1" applyFont="1" applyFill="1" applyBorder="1" applyAlignment="1">
      <alignment horizontal="center" vertical="center"/>
    </xf>
    <xf numFmtId="181" fontId="5" fillId="2" borderId="101" xfId="3" applyNumberFormat="1" applyFont="1" applyFill="1" applyBorder="1" applyAlignment="1">
      <alignment horizontal="center" vertical="center"/>
    </xf>
    <xf numFmtId="173" fontId="3" fillId="2" borderId="68" xfId="3" applyNumberFormat="1" applyFill="1" applyBorder="1" applyAlignment="1">
      <alignment horizontal="center" vertical="center"/>
    </xf>
    <xf numFmtId="9" fontId="3" fillId="4" borderId="8" xfId="3" applyNumberFormat="1" applyFill="1" applyBorder="1" applyAlignment="1">
      <alignment horizontal="center" vertical="center"/>
    </xf>
    <xf numFmtId="173" fontId="3" fillId="2" borderId="82" xfId="3" applyNumberFormat="1" applyFill="1" applyBorder="1" applyAlignment="1">
      <alignment horizontal="center" vertical="center"/>
    </xf>
    <xf numFmtId="9" fontId="3" fillId="2" borderId="0" xfId="3" applyNumberFormat="1" applyFill="1" applyAlignment="1">
      <alignment vertical="center"/>
    </xf>
    <xf numFmtId="181" fontId="3" fillId="0" borderId="0" xfId="3" applyNumberFormat="1" applyAlignment="1">
      <alignment vertical="center"/>
    </xf>
    <xf numFmtId="173" fontId="3" fillId="2" borderId="89" xfId="3" applyNumberFormat="1" applyFill="1" applyBorder="1" applyAlignment="1">
      <alignment horizontal="center" vertical="center"/>
    </xf>
    <xf numFmtId="0" fontId="5" fillId="0" borderId="102" xfId="3" applyFont="1" applyBorder="1" applyAlignment="1">
      <alignment vertical="center"/>
    </xf>
    <xf numFmtId="0" fontId="5" fillId="0" borderId="100" xfId="3" applyFont="1" applyBorder="1" applyAlignment="1">
      <alignment vertical="center"/>
    </xf>
    <xf numFmtId="173" fontId="5" fillId="2" borderId="98" xfId="3" applyNumberFormat="1" applyFont="1" applyFill="1" applyBorder="1" applyAlignment="1">
      <alignment horizontal="center" vertical="center"/>
    </xf>
    <xf numFmtId="0" fontId="4" fillId="0" borderId="103" xfId="3" applyFont="1" applyBorder="1" applyAlignment="1">
      <alignment vertical="center"/>
    </xf>
    <xf numFmtId="0" fontId="4" fillId="0" borderId="99" xfId="3" applyFont="1" applyBorder="1" applyAlignment="1">
      <alignment vertical="center"/>
    </xf>
    <xf numFmtId="0" fontId="4" fillId="0" borderId="99" xfId="3" applyFont="1" applyBorder="1" applyAlignment="1">
      <alignment horizontal="center" vertical="center"/>
    </xf>
    <xf numFmtId="0" fontId="4" fillId="0" borderId="100" xfId="3" applyFont="1" applyBorder="1" applyAlignment="1">
      <alignment vertical="center"/>
    </xf>
    <xf numFmtId="173" fontId="4" fillId="2" borderId="98" xfId="3" applyNumberFormat="1" applyFont="1" applyFill="1" applyBorder="1" applyAlignment="1">
      <alignment horizontal="center" vertical="center"/>
    </xf>
    <xf numFmtId="0" fontId="3" fillId="0" borderId="97" xfId="3" applyBorder="1" applyAlignment="1">
      <alignment horizontal="center" vertical="center"/>
    </xf>
    <xf numFmtId="0" fontId="3" fillId="0" borderId="104" xfId="3" applyBorder="1" applyAlignment="1">
      <alignment horizontal="center" vertical="center"/>
    </xf>
    <xf numFmtId="178" fontId="8" fillId="4" borderId="70" xfId="4" applyNumberFormat="1" applyFont="1" applyFill="1" applyBorder="1" applyAlignment="1">
      <alignment horizontal="center" vertical="center"/>
    </xf>
    <xf numFmtId="10" fontId="3" fillId="4" borderId="74" xfId="3" applyNumberFormat="1" applyFill="1" applyBorder="1" applyAlignment="1">
      <alignment horizontal="center" vertical="center"/>
    </xf>
    <xf numFmtId="0" fontId="8" fillId="0" borderId="0" xfId="3" applyFont="1" applyAlignment="1">
      <alignment vertical="center"/>
    </xf>
    <xf numFmtId="10" fontId="3" fillId="4" borderId="81" xfId="3" applyNumberFormat="1" applyFill="1" applyBorder="1" applyAlignment="1">
      <alignment horizontal="center" vertical="center"/>
    </xf>
    <xf numFmtId="10" fontId="3" fillId="4" borderId="12" xfId="3" applyNumberFormat="1" applyFill="1" applyBorder="1" applyAlignment="1">
      <alignment horizontal="center" vertical="center"/>
    </xf>
    <xf numFmtId="0" fontId="9" fillId="0" borderId="0" xfId="3" applyFont="1" applyAlignment="1">
      <alignment vertical="center"/>
    </xf>
    <xf numFmtId="0" fontId="5" fillId="0" borderId="0" xfId="3" applyFont="1" applyAlignment="1">
      <alignment vertical="center"/>
    </xf>
    <xf numFmtId="0" fontId="3" fillId="0" borderId="106" xfId="3" applyBorder="1" applyAlignment="1">
      <alignment horizontal="center" vertical="center"/>
    </xf>
    <xf numFmtId="0" fontId="3" fillId="4" borderId="107" xfId="3" applyFill="1" applyBorder="1" applyAlignment="1">
      <alignment vertical="center"/>
    </xf>
    <xf numFmtId="175" fontId="3" fillId="4" borderId="9" xfId="3" applyNumberFormat="1" applyFill="1" applyBorder="1" applyAlignment="1">
      <alignment horizontal="center" vertical="center"/>
    </xf>
    <xf numFmtId="176" fontId="3" fillId="4" borderId="108" xfId="3" applyNumberFormat="1" applyFill="1" applyBorder="1" applyAlignment="1">
      <alignment vertical="center"/>
    </xf>
    <xf numFmtId="173" fontId="3" fillId="2" borderId="109" xfId="3" applyNumberFormat="1" applyFill="1" applyBorder="1" applyAlignment="1">
      <alignment horizontal="center" vertical="center"/>
    </xf>
    <xf numFmtId="177" fontId="3" fillId="4" borderId="107" xfId="3" applyNumberFormat="1" applyFill="1" applyBorder="1" applyAlignment="1">
      <alignment horizontal="center" vertical="center"/>
    </xf>
    <xf numFmtId="178" fontId="3" fillId="4" borderId="110" xfId="3" applyNumberFormat="1" applyFill="1" applyBorder="1" applyAlignment="1">
      <alignment horizontal="center" vertical="center"/>
    </xf>
    <xf numFmtId="179" fontId="3" fillId="3" borderId="107" xfId="3" applyNumberFormat="1" applyFill="1" applyBorder="1" applyAlignment="1">
      <alignment horizontal="center" vertical="center"/>
    </xf>
    <xf numFmtId="179" fontId="3" fillId="3" borderId="110" xfId="3" applyNumberFormat="1" applyFill="1" applyBorder="1" applyAlignment="1">
      <alignment horizontal="center" vertical="center"/>
    </xf>
    <xf numFmtId="180" fontId="3" fillId="3" borderId="110" xfId="3" applyNumberFormat="1" applyFill="1" applyBorder="1" applyAlignment="1">
      <alignment horizontal="center" vertical="center"/>
    </xf>
    <xf numFmtId="180" fontId="3" fillId="3" borderId="111" xfId="3" applyNumberFormat="1" applyFill="1" applyBorder="1" applyAlignment="1">
      <alignment horizontal="center" vertical="center"/>
    </xf>
    <xf numFmtId="180" fontId="3" fillId="2" borderId="110" xfId="3" applyNumberFormat="1" applyFill="1" applyBorder="1" applyAlignment="1">
      <alignment horizontal="center" vertical="center"/>
    </xf>
    <xf numFmtId="10" fontId="3" fillId="4" borderId="112" xfId="3" applyNumberFormat="1" applyFill="1" applyBorder="1" applyAlignment="1">
      <alignment horizontal="center" vertical="center"/>
    </xf>
    <xf numFmtId="181" fontId="8" fillId="2" borderId="113" xfId="3" applyNumberFormat="1" applyFont="1" applyFill="1" applyBorder="1" applyAlignment="1">
      <alignment horizontal="center" vertical="center"/>
    </xf>
    <xf numFmtId="178" fontId="3" fillId="4" borderId="110" xfId="4" applyNumberFormat="1" applyFill="1" applyBorder="1" applyAlignment="1">
      <alignment horizontal="center" vertical="center"/>
    </xf>
    <xf numFmtId="175" fontId="3" fillId="4" borderId="110" xfId="3" applyNumberFormat="1" applyFill="1" applyBorder="1" applyAlignment="1">
      <alignment horizontal="center" vertical="center"/>
    </xf>
    <xf numFmtId="176" fontId="3" fillId="4" borderId="115" xfId="3" applyNumberFormat="1" applyFill="1" applyBorder="1" applyAlignment="1">
      <alignment vertical="center"/>
    </xf>
    <xf numFmtId="9" fontId="3" fillId="0" borderId="0" xfId="3" applyNumberFormat="1" applyAlignment="1">
      <alignment vertical="center"/>
    </xf>
    <xf numFmtId="9" fontId="3" fillId="4" borderId="7" xfId="3" applyNumberFormat="1" applyFill="1" applyBorder="1" applyAlignment="1">
      <alignment horizontal="center" vertical="center"/>
    </xf>
    <xf numFmtId="0" fontId="5" fillId="0" borderId="35" xfId="3" applyFont="1" applyBorder="1" applyAlignment="1">
      <alignment horizontal="center" vertical="center"/>
    </xf>
    <xf numFmtId="0" fontId="5" fillId="0" borderId="38" xfId="3" applyFont="1" applyBorder="1" applyAlignment="1">
      <alignment vertical="center"/>
    </xf>
    <xf numFmtId="173" fontId="5" fillId="2" borderId="35" xfId="3" applyNumberFormat="1" applyFont="1" applyFill="1" applyBorder="1" applyAlignment="1">
      <alignment horizontal="center" vertical="center"/>
    </xf>
    <xf numFmtId="9" fontId="5" fillId="0" borderId="38" xfId="1" applyFont="1" applyFill="1" applyBorder="1" applyAlignment="1">
      <alignment horizontal="center" vertical="center"/>
    </xf>
    <xf numFmtId="181" fontId="5" fillId="2" borderId="42" xfId="3" applyNumberFormat="1" applyFont="1" applyFill="1" applyBorder="1" applyAlignment="1">
      <alignment horizontal="center" vertical="center"/>
    </xf>
    <xf numFmtId="9" fontId="4" fillId="0" borderId="102" xfId="1" applyFont="1" applyFill="1" applyBorder="1" applyAlignment="1">
      <alignment horizontal="center" vertical="center"/>
    </xf>
    <xf numFmtId="181" fontId="4" fillId="0" borderId="116" xfId="3" applyNumberFormat="1" applyFont="1" applyBorder="1" applyAlignment="1">
      <alignment horizontal="center" vertical="center"/>
    </xf>
    <xf numFmtId="0" fontId="3" fillId="0" borderId="0" xfId="3" quotePrefix="1" applyAlignment="1">
      <alignment vertical="center"/>
    </xf>
    <xf numFmtId="0" fontId="3" fillId="0" borderId="117" xfId="3" applyBorder="1" applyAlignment="1">
      <alignment horizontal="center" vertical="center"/>
    </xf>
    <xf numFmtId="178" fontId="3" fillId="4" borderId="78" xfId="4" applyNumberFormat="1" applyFill="1" applyBorder="1" applyAlignment="1">
      <alignment horizontal="center" vertical="center"/>
    </xf>
    <xf numFmtId="173" fontId="3" fillId="2" borderId="76" xfId="3" applyNumberFormat="1" applyFill="1" applyBorder="1" applyAlignment="1">
      <alignment horizontal="center" vertical="center"/>
    </xf>
    <xf numFmtId="178" fontId="3" fillId="4" borderId="84" xfId="3" applyNumberFormat="1" applyFill="1" applyBorder="1" applyAlignment="1">
      <alignment horizontal="center" vertical="center"/>
    </xf>
    <xf numFmtId="0" fontId="3" fillId="0" borderId="118" xfId="3" applyBorder="1" applyAlignment="1">
      <alignment horizontal="center" vertical="center"/>
    </xf>
    <xf numFmtId="0" fontId="3" fillId="4" borderId="119" xfId="3" applyFill="1" applyBorder="1" applyAlignment="1">
      <alignment vertical="center"/>
    </xf>
    <xf numFmtId="175" fontId="3" fillId="4" borderId="120" xfId="3" applyNumberFormat="1" applyFill="1" applyBorder="1" applyAlignment="1">
      <alignment horizontal="center" vertical="center"/>
    </xf>
    <xf numFmtId="176" fontId="3" fillId="4" borderId="121" xfId="3" applyNumberFormat="1" applyFill="1" applyBorder="1" applyAlignment="1">
      <alignment vertical="center"/>
    </xf>
    <xf numFmtId="177" fontId="3" fillId="4" borderId="122" xfId="3" applyNumberFormat="1" applyFill="1" applyBorder="1" applyAlignment="1">
      <alignment horizontal="center" vertical="center"/>
    </xf>
    <xf numFmtId="178" fontId="3" fillId="4" borderId="120" xfId="3" applyNumberFormat="1" applyFill="1" applyBorder="1" applyAlignment="1">
      <alignment horizontal="center" vertical="center"/>
    </xf>
    <xf numFmtId="179" fontId="3" fillId="3" borderId="122" xfId="3" applyNumberFormat="1" applyFill="1" applyBorder="1" applyAlignment="1">
      <alignment horizontal="center" vertical="center"/>
    </xf>
    <xf numFmtId="179" fontId="3" fillId="3" borderId="120" xfId="3" applyNumberFormat="1" applyFill="1" applyBorder="1" applyAlignment="1">
      <alignment horizontal="center" vertical="center"/>
    </xf>
    <xf numFmtId="180" fontId="3" fillId="3" borderId="120" xfId="3" applyNumberFormat="1" applyFill="1" applyBorder="1" applyAlignment="1">
      <alignment horizontal="center" vertical="center"/>
    </xf>
    <xf numFmtId="180" fontId="3" fillId="3" borderId="123" xfId="3" applyNumberFormat="1" applyFill="1" applyBorder="1" applyAlignment="1">
      <alignment horizontal="center" vertical="center"/>
    </xf>
    <xf numFmtId="173" fontId="3" fillId="2" borderId="118" xfId="3" applyNumberFormat="1" applyFill="1" applyBorder="1" applyAlignment="1">
      <alignment horizontal="center" vertical="center"/>
    </xf>
    <xf numFmtId="10" fontId="3" fillId="4" borderId="124" xfId="3" applyNumberFormat="1" applyFill="1" applyBorder="1" applyAlignment="1">
      <alignment horizontal="center" vertical="center"/>
    </xf>
    <xf numFmtId="181" fontId="8" fillId="2" borderId="125" xfId="3" applyNumberFormat="1" applyFont="1" applyFill="1" applyBorder="1" applyAlignment="1">
      <alignment horizontal="center" vertical="center"/>
    </xf>
    <xf numFmtId="0" fontId="3" fillId="0" borderId="126" xfId="3" applyBorder="1" applyAlignment="1">
      <alignment vertical="center"/>
    </xf>
    <xf numFmtId="175" fontId="3" fillId="0" borderId="0" xfId="3" applyNumberFormat="1" applyAlignment="1">
      <alignment horizontal="center" vertical="center"/>
    </xf>
    <xf numFmtId="176" fontId="3" fillId="0" borderId="0" xfId="3" applyNumberFormat="1" applyAlignment="1">
      <alignment vertical="center"/>
    </xf>
    <xf numFmtId="177" fontId="3" fillId="0" borderId="0" xfId="3" applyNumberFormat="1" applyAlignment="1">
      <alignment horizontal="center" vertical="center"/>
    </xf>
    <xf numFmtId="178" fontId="8" fillId="0" borderId="0" xfId="4" applyNumberFormat="1" applyFont="1" applyAlignment="1">
      <alignment horizontal="center" vertical="center"/>
    </xf>
    <xf numFmtId="179" fontId="3" fillId="0" borderId="0" xfId="3" applyNumberFormat="1" applyAlignment="1">
      <alignment horizontal="center" vertical="center"/>
    </xf>
    <xf numFmtId="180" fontId="3" fillId="0" borderId="0" xfId="3" applyNumberFormat="1" applyAlignment="1">
      <alignment horizontal="center" vertical="center"/>
    </xf>
    <xf numFmtId="9" fontId="3" fillId="0" borderId="45" xfId="3" applyNumberFormat="1" applyBorder="1" applyAlignment="1">
      <alignment horizontal="center" vertical="center"/>
    </xf>
    <xf numFmtId="0" fontId="3" fillId="0" borderId="99" xfId="3" applyBorder="1" applyAlignment="1">
      <alignment vertical="center"/>
    </xf>
    <xf numFmtId="0" fontId="3" fillId="0" borderId="99" xfId="3" applyBorder="1" applyAlignment="1">
      <alignment vertical="center" wrapText="1"/>
    </xf>
    <xf numFmtId="173" fontId="3" fillId="2" borderId="127" xfId="3" applyNumberFormat="1" applyFill="1" applyBorder="1" applyAlignment="1">
      <alignment horizontal="center" vertical="center"/>
    </xf>
    <xf numFmtId="176" fontId="3" fillId="4" borderId="110" xfId="3" applyNumberFormat="1" applyFill="1" applyBorder="1" applyAlignment="1">
      <alignment vertical="center"/>
    </xf>
    <xf numFmtId="173" fontId="3" fillId="2" borderId="21" xfId="3" applyNumberFormat="1" applyFill="1" applyBorder="1" applyAlignment="1">
      <alignment horizontal="center" vertical="center"/>
    </xf>
    <xf numFmtId="173" fontId="3" fillId="2" borderId="128" xfId="3" applyNumberFormat="1" applyFill="1" applyBorder="1" applyAlignment="1">
      <alignment horizontal="center" vertical="center"/>
    </xf>
    <xf numFmtId="178" fontId="8" fillId="4" borderId="120" xfId="4" applyNumberFormat="1" applyFont="1" applyFill="1" applyBorder="1" applyAlignment="1">
      <alignment horizontal="center" vertical="center"/>
    </xf>
    <xf numFmtId="180" fontId="3" fillId="2" borderId="120" xfId="3" applyNumberFormat="1" applyFill="1" applyBorder="1" applyAlignment="1">
      <alignment horizontal="center" vertical="center"/>
    </xf>
    <xf numFmtId="173" fontId="3" fillId="2" borderId="124" xfId="3" applyNumberFormat="1" applyFill="1" applyBorder="1" applyAlignment="1">
      <alignment horizontal="center" vertical="center"/>
    </xf>
    <xf numFmtId="181" fontId="8" fillId="2" borderId="129" xfId="3" applyNumberFormat="1" applyFont="1" applyFill="1" applyBorder="1" applyAlignment="1">
      <alignment horizontal="center" vertical="center"/>
    </xf>
    <xf numFmtId="0" fontId="3" fillId="0" borderId="0" xfId="3" applyAlignment="1">
      <alignment horizontal="left" vertical="center"/>
    </xf>
    <xf numFmtId="0" fontId="3" fillId="0" borderId="0" xfId="3" applyAlignment="1">
      <alignment horizontal="center" vertical="center"/>
    </xf>
    <xf numFmtId="0" fontId="10" fillId="0" borderId="0" xfId="3" applyFont="1" applyAlignment="1">
      <alignment horizontal="left" vertical="center"/>
    </xf>
    <xf numFmtId="0" fontId="10" fillId="0" borderId="0" xfId="3" applyFont="1" applyAlignment="1">
      <alignment vertical="center"/>
    </xf>
    <xf numFmtId="0" fontId="10" fillId="0" borderId="0" xfId="3" applyFont="1" applyAlignment="1">
      <alignment horizontal="center" vertical="center"/>
    </xf>
    <xf numFmtId="0" fontId="4" fillId="0" borderId="42" xfId="3" applyFont="1" applyBorder="1" applyAlignment="1">
      <alignment horizontal="center" vertical="center"/>
    </xf>
    <xf numFmtId="0" fontId="4" fillId="0" borderId="14" xfId="3" applyFont="1" applyBorder="1" applyAlignment="1">
      <alignment vertical="center"/>
    </xf>
    <xf numFmtId="0" fontId="4" fillId="0" borderId="13" xfId="3" applyFont="1" applyBorder="1" applyAlignment="1">
      <alignment horizontal="center" vertical="center"/>
    </xf>
    <xf numFmtId="0" fontId="11" fillId="0" borderId="130" xfId="3" applyFont="1" applyBorder="1" applyAlignment="1">
      <alignment horizontal="left" vertical="center"/>
    </xf>
    <xf numFmtId="173" fontId="8" fillId="2" borderId="82" xfId="3" applyNumberFormat="1" applyFont="1" applyFill="1" applyBorder="1" applyAlignment="1">
      <alignment vertical="center"/>
    </xf>
    <xf numFmtId="173" fontId="11" fillId="2" borderId="88" xfId="3" applyNumberFormat="1" applyFont="1" applyFill="1" applyBorder="1" applyAlignment="1">
      <alignment vertical="center"/>
    </xf>
    <xf numFmtId="0" fontId="11" fillId="0" borderId="131" xfId="3" applyFont="1" applyBorder="1" applyAlignment="1">
      <alignment horizontal="left" vertical="center"/>
    </xf>
    <xf numFmtId="173" fontId="8" fillId="2" borderId="117" xfId="3" applyNumberFormat="1" applyFont="1" applyFill="1" applyBorder="1" applyAlignment="1">
      <alignment vertical="center"/>
    </xf>
    <xf numFmtId="173" fontId="11" fillId="2" borderId="113" xfId="3" applyNumberFormat="1" applyFont="1" applyFill="1" applyBorder="1" applyAlignment="1">
      <alignment vertical="center"/>
    </xf>
    <xf numFmtId="0" fontId="11" fillId="0" borderId="133" xfId="3" applyFont="1" applyBorder="1" applyAlignment="1">
      <alignment horizontal="left" vertical="center"/>
    </xf>
    <xf numFmtId="173" fontId="8" fillId="2" borderId="76" xfId="3" applyNumberFormat="1" applyFont="1" applyFill="1" applyBorder="1" applyAlignment="1">
      <alignment vertical="center"/>
    </xf>
    <xf numFmtId="173" fontId="11" fillId="2" borderId="19" xfId="3" applyNumberFormat="1" applyFont="1" applyFill="1" applyBorder="1" applyAlignment="1">
      <alignment vertical="center"/>
    </xf>
    <xf numFmtId="0" fontId="10" fillId="0" borderId="134" xfId="3" applyFont="1" applyBorder="1" applyAlignment="1">
      <alignment horizontal="left" vertical="center"/>
    </xf>
    <xf numFmtId="0" fontId="3" fillId="0" borderId="62" xfId="3" applyBorder="1" applyAlignment="1">
      <alignment horizontal="center" vertical="center"/>
    </xf>
    <xf numFmtId="173" fontId="10" fillId="0" borderId="62" xfId="3" applyNumberFormat="1" applyFont="1" applyBorder="1" applyAlignment="1">
      <alignment vertical="center"/>
    </xf>
    <xf numFmtId="173" fontId="10" fillId="2" borderId="31" xfId="3" applyNumberFormat="1" applyFont="1" applyFill="1" applyBorder="1" applyAlignment="1">
      <alignment vertical="center"/>
    </xf>
    <xf numFmtId="173" fontId="10" fillId="0" borderId="14" xfId="3" applyNumberFormat="1" applyFont="1" applyBorder="1" applyAlignment="1">
      <alignment vertical="center"/>
    </xf>
    <xf numFmtId="173" fontId="10" fillId="0" borderId="0" xfId="3" applyNumberFormat="1" applyFont="1" applyAlignment="1">
      <alignment vertical="center"/>
    </xf>
    <xf numFmtId="0" fontId="10" fillId="0" borderId="0" xfId="3" applyFont="1" applyAlignment="1">
      <alignment horizontal="right" vertical="center"/>
    </xf>
    <xf numFmtId="181" fontId="10" fillId="0" borderId="0" xfId="3" applyNumberFormat="1" applyFont="1" applyAlignment="1">
      <alignment vertical="center"/>
    </xf>
    <xf numFmtId="181" fontId="10" fillId="0" borderId="0" xfId="3" applyNumberFormat="1" applyFont="1" applyAlignment="1">
      <alignment horizontal="center" vertical="center"/>
    </xf>
    <xf numFmtId="173" fontId="10" fillId="0" borderId="0" xfId="3" applyNumberFormat="1" applyFont="1" applyAlignment="1">
      <alignment horizontal="center" vertical="center"/>
    </xf>
    <xf numFmtId="182" fontId="10" fillId="0" borderId="0" xfId="3" applyNumberFormat="1" applyFont="1" applyAlignment="1">
      <alignment horizontal="right" vertical="center"/>
    </xf>
    <xf numFmtId="10" fontId="3" fillId="0" borderId="0" xfId="3" applyNumberFormat="1" applyAlignment="1">
      <alignment horizontal="center" vertical="center"/>
    </xf>
    <xf numFmtId="0" fontId="4" fillId="0" borderId="0" xfId="3" applyFont="1" applyAlignment="1">
      <alignment horizontal="right" vertical="center"/>
    </xf>
    <xf numFmtId="0" fontId="13" fillId="0" borderId="0" xfId="2" applyFont="1" applyFill="1" applyAlignment="1">
      <alignment vertical="center"/>
    </xf>
    <xf numFmtId="181" fontId="3" fillId="0" borderId="0" xfId="3" applyNumberFormat="1" applyAlignment="1">
      <alignment horizontal="center" vertical="center"/>
    </xf>
    <xf numFmtId="181" fontId="11" fillId="2" borderId="135" xfId="1" applyNumberFormat="1" applyFont="1" applyFill="1" applyBorder="1" applyAlignment="1">
      <alignment horizontal="center" vertical="center"/>
    </xf>
    <xf numFmtId="181" fontId="11" fillId="2" borderId="114" xfId="1" applyNumberFormat="1" applyFont="1" applyFill="1" applyBorder="1" applyAlignment="1">
      <alignment horizontal="center" vertical="center"/>
    </xf>
    <xf numFmtId="173" fontId="11" fillId="2" borderId="117" xfId="3" applyNumberFormat="1" applyFont="1" applyFill="1" applyBorder="1" applyAlignment="1">
      <alignment horizontal="center" vertical="center"/>
    </xf>
    <xf numFmtId="181" fontId="12" fillId="6" borderId="132" xfId="0" applyNumberFormat="1" applyFont="1" applyFill="1" applyBorder="1" applyAlignment="1">
      <alignment horizontal="center" wrapText="1"/>
    </xf>
    <xf numFmtId="181" fontId="12" fillId="6" borderId="112" xfId="0" applyNumberFormat="1" applyFont="1" applyFill="1" applyBorder="1" applyAlignment="1">
      <alignment horizontal="center" wrapText="1"/>
    </xf>
    <xf numFmtId="165" fontId="4" fillId="6" borderId="14" xfId="3" applyNumberFormat="1" applyFont="1" applyFill="1" applyBorder="1" applyAlignment="1">
      <alignment horizontal="center" vertical="center" wrapText="1"/>
    </xf>
    <xf numFmtId="165" fontId="4" fillId="6" borderId="0" xfId="3" applyNumberFormat="1" applyFont="1" applyFill="1" applyAlignment="1">
      <alignment horizontal="center" vertical="center" wrapText="1"/>
    </xf>
    <xf numFmtId="173" fontId="11" fillId="2" borderId="76" xfId="3" applyNumberFormat="1" applyFont="1" applyFill="1" applyBorder="1" applyAlignment="1">
      <alignment horizontal="center" vertical="center"/>
    </xf>
    <xf numFmtId="181" fontId="12" fillId="2" borderId="26" xfId="0" applyNumberFormat="1" applyFont="1" applyFill="1" applyBorder="1" applyAlignment="1">
      <alignment horizontal="center" wrapText="1"/>
    </xf>
    <xf numFmtId="181" fontId="12" fillId="2" borderId="81" xfId="0" applyNumberFormat="1" applyFont="1" applyFill="1" applyBorder="1" applyAlignment="1">
      <alignment horizontal="center" wrapText="1"/>
    </xf>
    <xf numFmtId="173" fontId="11" fillId="2" borderId="82" xfId="3" applyNumberFormat="1" applyFont="1" applyFill="1" applyBorder="1" applyAlignment="1">
      <alignment horizontal="center" vertical="center"/>
    </xf>
    <xf numFmtId="181" fontId="12" fillId="6" borderId="11" xfId="0" applyNumberFormat="1" applyFont="1" applyFill="1" applyBorder="1" applyAlignment="1">
      <alignment horizontal="center" wrapText="1"/>
    </xf>
    <xf numFmtId="181" fontId="12" fillId="6" borderId="12" xfId="0" applyNumberFormat="1" applyFont="1" applyFill="1" applyBorder="1" applyAlignment="1">
      <alignment horizontal="center" wrapText="1"/>
    </xf>
    <xf numFmtId="0" fontId="4" fillId="2" borderId="14" xfId="3" quotePrefix="1" applyFont="1" applyFill="1" applyBorder="1" applyAlignment="1">
      <alignment horizontal="center" vertical="center" wrapText="1"/>
    </xf>
    <xf numFmtId="0" fontId="4" fillId="2" borderId="0" xfId="3" quotePrefix="1" applyFont="1" applyFill="1" applyAlignment="1">
      <alignment horizontal="center" vertical="center" wrapText="1"/>
    </xf>
    <xf numFmtId="0" fontId="3" fillId="0" borderId="106" xfId="3" applyBorder="1" applyAlignment="1">
      <alignment horizontal="left" vertical="center" wrapText="1"/>
    </xf>
    <xf numFmtId="0" fontId="3" fillId="0" borderId="76" xfId="3" applyBorder="1" applyAlignment="1">
      <alignment horizontal="left" vertical="center" wrapText="1"/>
    </xf>
    <xf numFmtId="0" fontId="3" fillId="0" borderId="82" xfId="3" applyBorder="1" applyAlignment="1">
      <alignment horizontal="left" vertical="center" wrapText="1"/>
    </xf>
    <xf numFmtId="0" fontId="3" fillId="0" borderId="118" xfId="3" applyBorder="1" applyAlignment="1">
      <alignment horizontal="left" vertical="center" wrapText="1"/>
    </xf>
    <xf numFmtId="0" fontId="3" fillId="0" borderId="34" xfId="3" applyBorder="1" applyAlignment="1">
      <alignment horizontal="left" vertical="center" wrapText="1"/>
    </xf>
    <xf numFmtId="0" fontId="3" fillId="0" borderId="44" xfId="3" applyBorder="1" applyAlignment="1">
      <alignment horizontal="left" vertical="center" wrapText="1"/>
    </xf>
    <xf numFmtId="0" fontId="4" fillId="0" borderId="35" xfId="3" applyFont="1" applyBorder="1" applyAlignment="1">
      <alignment horizontal="center" vertical="center"/>
    </xf>
    <xf numFmtId="0" fontId="4" fillId="0" borderId="37" xfId="3" applyFont="1" applyBorder="1" applyAlignment="1">
      <alignment horizontal="center" vertical="center"/>
    </xf>
    <xf numFmtId="0" fontId="4" fillId="0" borderId="34" xfId="3" applyFont="1" applyBorder="1" applyAlignment="1">
      <alignment horizontal="center" vertical="center"/>
    </xf>
    <xf numFmtId="0" fontId="4" fillId="0" borderId="45" xfId="3" applyFont="1" applyBorder="1" applyAlignment="1">
      <alignment horizontal="center" vertical="center"/>
    </xf>
    <xf numFmtId="0" fontId="4" fillId="0" borderId="126" xfId="3" applyFont="1" applyBorder="1" applyAlignment="1">
      <alignment horizontal="center" vertical="center"/>
    </xf>
    <xf numFmtId="0" fontId="4" fillId="0" borderId="44" xfId="3" applyFont="1" applyBorder="1" applyAlignment="1">
      <alignment horizontal="center" vertical="center"/>
    </xf>
    <xf numFmtId="0" fontId="4" fillId="0" borderId="33" xfId="3" applyFont="1" applyBorder="1" applyAlignment="1">
      <alignment horizontal="left" vertical="center" wrapText="1"/>
    </xf>
    <xf numFmtId="0" fontId="4" fillId="0" borderId="43" xfId="3" applyFont="1" applyBorder="1" applyAlignment="1">
      <alignment horizontal="left" vertical="center" wrapText="1"/>
    </xf>
    <xf numFmtId="0" fontId="3" fillId="0" borderId="34" xfId="3" applyBorder="1" applyAlignment="1">
      <alignment horizontal="center" vertical="center"/>
    </xf>
    <xf numFmtId="0" fontId="3" fillId="0" borderId="44" xfId="3" applyBorder="1" applyAlignment="1">
      <alignment horizontal="center" vertical="center"/>
    </xf>
    <xf numFmtId="0" fontId="3" fillId="0" borderId="61" xfId="3" applyBorder="1" applyAlignment="1">
      <alignment horizontal="center" vertical="center"/>
    </xf>
    <xf numFmtId="0" fontId="3" fillId="0" borderId="68" xfId="3" applyBorder="1" applyAlignment="1">
      <alignment horizontal="left" vertical="center"/>
    </xf>
    <xf numFmtId="0" fontId="3" fillId="0" borderId="76" xfId="3" applyBorder="1" applyAlignment="1">
      <alignment horizontal="left" vertical="center"/>
    </xf>
    <xf numFmtId="0" fontId="3" fillId="0" borderId="82" xfId="3" applyBorder="1" applyAlignment="1">
      <alignment horizontal="left" vertical="center"/>
    </xf>
    <xf numFmtId="0" fontId="3" fillId="0" borderId="89" xfId="3" applyBorder="1" applyAlignment="1">
      <alignment horizontal="left" vertical="center" wrapText="1"/>
    </xf>
    <xf numFmtId="0" fontId="3" fillId="0" borderId="61" xfId="3" applyBorder="1" applyAlignment="1">
      <alignment horizontal="left" vertical="center" wrapText="1"/>
    </xf>
    <xf numFmtId="0" fontId="3" fillId="0" borderId="35" xfId="3" applyBorder="1" applyAlignment="1">
      <alignment horizontal="center" vertical="center"/>
    </xf>
    <xf numFmtId="0" fontId="3" fillId="0" borderId="45" xfId="3" applyBorder="1" applyAlignment="1">
      <alignment horizontal="center" vertical="center"/>
    </xf>
    <xf numFmtId="0" fontId="3" fillId="0" borderId="74" xfId="3" applyBorder="1" applyAlignment="1">
      <alignment horizontal="left" vertical="center"/>
    </xf>
    <xf numFmtId="0" fontId="3" fillId="0" borderId="81" xfId="3" applyBorder="1" applyAlignment="1">
      <alignment horizontal="left" vertical="center"/>
    </xf>
    <xf numFmtId="0" fontId="3" fillId="0" borderId="21" xfId="3" applyBorder="1" applyAlignment="1">
      <alignment horizontal="left" vertical="center" wrapText="1"/>
    </xf>
    <xf numFmtId="0" fontId="3" fillId="0" borderId="81" xfId="3" applyBorder="1" applyAlignment="1">
      <alignment horizontal="left" vertical="center" wrapText="1"/>
    </xf>
    <xf numFmtId="0" fontId="3" fillId="0" borderId="12" xfId="3" applyBorder="1" applyAlignment="1">
      <alignment horizontal="left" vertical="center" wrapText="1"/>
    </xf>
    <xf numFmtId="0" fontId="3" fillId="0" borderId="18" xfId="3" applyBorder="1" applyAlignment="1">
      <alignment horizontal="left" vertical="center" wrapText="1"/>
    </xf>
    <xf numFmtId="0" fontId="3" fillId="0" borderId="35" xfId="3" applyBorder="1" applyAlignment="1">
      <alignment horizontal="center" vertical="center" wrapText="1"/>
    </xf>
    <xf numFmtId="0" fontId="3" fillId="0" borderId="45" xfId="3" applyBorder="1" applyAlignment="1">
      <alignment horizontal="center" vertical="center" wrapText="1"/>
    </xf>
    <xf numFmtId="0" fontId="3" fillId="0" borderId="12" xfId="3" applyBorder="1" applyAlignment="1">
      <alignment horizontal="left" vertical="center"/>
    </xf>
    <xf numFmtId="0" fontId="3" fillId="0" borderId="105" xfId="3" applyBorder="1" applyAlignment="1">
      <alignment horizontal="left" vertical="center" wrapText="1"/>
    </xf>
    <xf numFmtId="0" fontId="3" fillId="0" borderId="52" xfId="3" applyBorder="1" applyAlignment="1">
      <alignment horizontal="left" vertical="center" wrapText="1"/>
    </xf>
    <xf numFmtId="0" fontId="3" fillId="0" borderId="36" xfId="3" applyBorder="1" applyAlignment="1">
      <alignment horizontal="center" vertical="center"/>
    </xf>
    <xf numFmtId="0" fontId="3" fillId="0" borderId="58" xfId="3" applyBorder="1" applyAlignment="1">
      <alignment horizontal="center" vertical="center"/>
    </xf>
    <xf numFmtId="0" fontId="3" fillId="0" borderId="114" xfId="3" applyBorder="1" applyAlignment="1">
      <alignment horizontal="center" vertical="center"/>
    </xf>
    <xf numFmtId="0" fontId="3" fillId="0" borderId="52" xfId="3" applyBorder="1" applyAlignment="1">
      <alignment horizontal="center" vertical="center"/>
    </xf>
    <xf numFmtId="0" fontId="3" fillId="0" borderId="105" xfId="3" applyBorder="1" applyAlignment="1">
      <alignment horizontal="center" vertical="center"/>
    </xf>
    <xf numFmtId="0" fontId="4" fillId="0" borderId="33" xfId="3" applyFont="1" applyBorder="1" applyAlignment="1">
      <alignment horizontal="left" vertical="center"/>
    </xf>
    <xf numFmtId="0" fontId="4" fillId="0" borderId="43" xfId="3" applyFont="1" applyBorder="1" applyAlignment="1">
      <alignment horizontal="left" vertical="center"/>
    </xf>
    <xf numFmtId="0" fontId="4" fillId="0" borderId="60" xfId="3" applyFont="1" applyBorder="1" applyAlignment="1">
      <alignment horizontal="left" vertical="center"/>
    </xf>
    <xf numFmtId="0" fontId="3" fillId="0" borderId="68" xfId="3" applyBorder="1" applyAlignment="1">
      <alignment horizontal="left" vertical="center" wrapText="1"/>
    </xf>
    <xf numFmtId="0" fontId="3" fillId="0" borderId="45" xfId="3" applyBorder="1" applyAlignment="1">
      <alignment horizontal="left" vertical="center" wrapText="1"/>
    </xf>
    <xf numFmtId="0" fontId="3" fillId="0" borderId="90" xfId="3" applyBorder="1" applyAlignment="1">
      <alignment horizontal="left" vertical="center" wrapText="1"/>
    </xf>
    <xf numFmtId="0" fontId="3" fillId="0" borderId="91" xfId="3" applyBorder="1" applyAlignment="1">
      <alignment horizontal="left" vertical="center" wrapText="1"/>
    </xf>
    <xf numFmtId="0" fontId="3" fillId="0" borderId="35" xfId="3" applyBorder="1" applyAlignment="1">
      <alignment horizontal="left" vertical="center" wrapText="1"/>
    </xf>
    <xf numFmtId="0" fontId="3" fillId="0" borderId="62" xfId="3" applyBorder="1" applyAlignment="1">
      <alignment horizontal="left" vertical="center" wrapText="1"/>
    </xf>
    <xf numFmtId="0" fontId="3" fillId="0" borderId="44" xfId="3" applyBorder="1" applyAlignment="1">
      <alignment horizontal="left" vertical="center"/>
    </xf>
    <xf numFmtId="0" fontId="3" fillId="0" borderId="90" xfId="3" applyBorder="1" applyAlignment="1">
      <alignment horizontal="left" vertical="center"/>
    </xf>
    <xf numFmtId="0" fontId="3" fillId="0" borderId="91" xfId="3" applyBorder="1" applyAlignment="1">
      <alignment horizontal="left" vertical="center"/>
    </xf>
    <xf numFmtId="174" fontId="3" fillId="0" borderId="55" xfId="3" applyNumberFormat="1" applyBorder="1" applyAlignment="1">
      <alignment horizontal="center" vertical="center"/>
    </xf>
    <xf numFmtId="174" fontId="3" fillId="0" borderId="59" xfId="3" applyNumberFormat="1" applyBorder="1" applyAlignment="1">
      <alignment horizontal="center" vertical="center"/>
    </xf>
    <xf numFmtId="174" fontId="3" fillId="0" borderId="56" xfId="3" applyNumberFormat="1" applyBorder="1" applyAlignment="1">
      <alignment horizontal="center" vertical="center"/>
    </xf>
    <xf numFmtId="174" fontId="3" fillId="0" borderId="58" xfId="3" applyNumberFormat="1" applyBorder="1" applyAlignment="1">
      <alignment horizontal="center" vertical="center"/>
    </xf>
    <xf numFmtId="173" fontId="3" fillId="4" borderId="51" xfId="3" applyNumberFormat="1" applyFill="1" applyBorder="1" applyAlignment="1">
      <alignment horizontal="center" vertical="center"/>
    </xf>
    <xf numFmtId="173" fontId="3" fillId="4" borderId="52" xfId="3" applyNumberFormat="1" applyFill="1" applyBorder="1" applyAlignment="1">
      <alignment horizontal="center" vertical="center"/>
    </xf>
    <xf numFmtId="0" fontId="3" fillId="4" borderId="37" xfId="3" applyFill="1" applyBorder="1" applyAlignment="1">
      <alignment horizontal="center" vertical="center"/>
    </xf>
    <xf numFmtId="0" fontId="3" fillId="4" borderId="38" xfId="3" applyFill="1" applyBorder="1" applyAlignment="1">
      <alignment horizontal="center" vertical="center"/>
    </xf>
    <xf numFmtId="0" fontId="3" fillId="4" borderId="34" xfId="3" applyFill="1" applyBorder="1" applyAlignment="1">
      <alignment horizontal="center" vertical="center"/>
    </xf>
    <xf numFmtId="0" fontId="3" fillId="0" borderId="39" xfId="3" applyBorder="1" applyAlignment="1">
      <alignment horizontal="center" vertical="center"/>
    </xf>
    <xf numFmtId="0" fontId="3" fillId="0" borderId="40" xfId="3" applyBorder="1" applyAlignment="1">
      <alignment horizontal="center" vertical="center"/>
    </xf>
    <xf numFmtId="0" fontId="3" fillId="0" borderId="41" xfId="3" applyBorder="1" applyAlignment="1">
      <alignment horizontal="center" vertical="center"/>
    </xf>
    <xf numFmtId="0" fontId="3" fillId="0" borderId="37" xfId="3" applyBorder="1" applyAlignment="1">
      <alignment horizontal="center" vertical="center"/>
    </xf>
    <xf numFmtId="0" fontId="3" fillId="0" borderId="38" xfId="3" applyBorder="1" applyAlignment="1">
      <alignment horizontal="center" vertical="center"/>
    </xf>
    <xf numFmtId="172" fontId="3" fillId="4" borderId="49" xfId="3" applyNumberFormat="1" applyFill="1" applyBorder="1" applyAlignment="1">
      <alignment horizontal="center" vertical="center"/>
    </xf>
    <xf numFmtId="172" fontId="3" fillId="4" borderId="50" xfId="3" applyNumberFormat="1" applyFill="1" applyBorder="1" applyAlignment="1">
      <alignment horizontal="center" vertical="center"/>
    </xf>
    <xf numFmtId="173" fontId="3" fillId="4" borderId="23" xfId="3" applyNumberFormat="1" applyFill="1" applyBorder="1" applyAlignment="1">
      <alignment horizontal="center" vertical="center"/>
    </xf>
    <xf numFmtId="172" fontId="3" fillId="4" borderId="23" xfId="3" applyNumberFormat="1" applyFill="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xf>
    <xf numFmtId="0" fontId="8" fillId="0" borderId="36" xfId="3" applyFont="1" applyBorder="1" applyAlignment="1">
      <alignment horizontal="center" vertical="center"/>
    </xf>
    <xf numFmtId="0" fontId="4" fillId="3" borderId="0" xfId="3" applyFont="1" applyFill="1" applyAlignment="1">
      <alignment horizontal="center" vertical="center" wrapText="1"/>
    </xf>
    <xf numFmtId="0" fontId="4" fillId="3" borderId="32" xfId="3" applyFont="1" applyFill="1" applyBorder="1" applyAlignment="1">
      <alignment horizontal="center" vertical="center" wrapText="1"/>
    </xf>
    <xf numFmtId="167" fontId="3" fillId="4" borderId="11" xfId="3" applyNumberFormat="1" applyFill="1" applyBorder="1" applyAlignment="1">
      <alignment horizontal="center" vertical="center"/>
    </xf>
    <xf numFmtId="167" fontId="3" fillId="4" borderId="12" xfId="3" applyNumberFormat="1" applyFill="1" applyBorder="1" applyAlignment="1">
      <alignment horizontal="center" vertical="center"/>
    </xf>
    <xf numFmtId="169" fontId="3" fillId="4" borderId="17" xfId="3" applyNumberFormat="1" applyFill="1" applyBorder="1" applyAlignment="1">
      <alignment horizontal="center" vertical="center"/>
    </xf>
    <xf numFmtId="169" fontId="3" fillId="4" borderId="18" xfId="3" applyNumberFormat="1" applyFill="1" applyBorder="1" applyAlignment="1">
      <alignment horizontal="center" vertical="center"/>
    </xf>
    <xf numFmtId="170" fontId="3" fillId="2" borderId="20" xfId="3" applyNumberFormat="1" applyFill="1" applyBorder="1" applyAlignment="1">
      <alignment horizontal="center" vertical="center"/>
    </xf>
    <xf numFmtId="170" fontId="3" fillId="2" borderId="21" xfId="3" applyNumberFormat="1" applyFill="1" applyBorder="1" applyAlignment="1">
      <alignment horizontal="center" vertical="center"/>
    </xf>
    <xf numFmtId="165" fontId="4" fillId="4" borderId="0" xfId="3" applyNumberFormat="1" applyFont="1" applyFill="1" applyAlignment="1">
      <alignment horizontal="center" vertical="center" wrapText="1"/>
    </xf>
    <xf numFmtId="165" fontId="4" fillId="4" borderId="32" xfId="3" applyNumberFormat="1" applyFont="1" applyFill="1" applyBorder="1" applyAlignment="1">
      <alignment horizontal="center" vertical="center" wrapText="1"/>
    </xf>
    <xf numFmtId="4" fontId="3" fillId="0" borderId="0" xfId="3" applyNumberFormat="1" applyAlignment="1">
      <alignment horizontal="center" vertical="center"/>
    </xf>
    <xf numFmtId="0" fontId="3" fillId="0" borderId="62" xfId="3" applyBorder="1" applyAlignment="1">
      <alignment horizontal="center" vertical="center" wrapText="1"/>
    </xf>
    <xf numFmtId="0" fontId="3" fillId="0" borderId="42" xfId="3" applyBorder="1" applyAlignment="1">
      <alignment horizontal="center" vertical="center" wrapText="1"/>
    </xf>
    <xf numFmtId="0" fontId="3" fillId="0" borderId="13" xfId="3" applyBorder="1" applyAlignment="1">
      <alignment horizontal="center" vertical="center" wrapText="1"/>
    </xf>
    <xf numFmtId="0" fontId="3" fillId="0" borderId="67" xfId="3" applyBorder="1" applyAlignment="1">
      <alignment horizontal="center" vertical="center" wrapText="1"/>
    </xf>
  </cellXfs>
  <cellStyles count="5">
    <cellStyle name="Link" xfId="2" builtinId="8"/>
    <cellStyle name="Prozent" xfId="1" builtinId="5"/>
    <cellStyle name="Standard" xfId="0" builtinId="0"/>
    <cellStyle name="Standard 2" xfId="3" xr:uid="{9D7DDEEA-E2E8-4ED0-8B59-A201E4D5B31F}"/>
    <cellStyle name="Standard 2 2 3" xfId="4" xr:uid="{48E161EF-56AD-4701-B19A-573059F14D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342900</xdr:colOff>
      <xdr:row>153</xdr:row>
      <xdr:rowOff>19050</xdr:rowOff>
    </xdr:from>
    <xdr:to>
      <xdr:col>8</xdr:col>
      <xdr:colOff>619125</xdr:colOff>
      <xdr:row>158</xdr:row>
      <xdr:rowOff>161925</xdr:rowOff>
    </xdr:to>
    <xdr:sp macro="" textlink="">
      <xdr:nvSpPr>
        <xdr:cNvPr id="2" name="Geschweifte Klammer rechts 1">
          <a:extLst>
            <a:ext uri="{FF2B5EF4-FFF2-40B4-BE49-F238E27FC236}">
              <a16:creationId xmlns:a16="http://schemas.microsoft.com/office/drawing/2014/main" id="{196108C1-8461-4ED9-818C-ADB3D894D22E}"/>
            </a:ext>
          </a:extLst>
        </xdr:cNvPr>
        <xdr:cNvSpPr/>
      </xdr:nvSpPr>
      <xdr:spPr>
        <a:xfrm>
          <a:off x="5288280" y="27664410"/>
          <a:ext cx="1129665" cy="1209675"/>
        </a:xfrm>
        <a:prstGeom prst="rightBrace">
          <a:avLst>
            <a:gd name="adj1" fmla="val 8333"/>
            <a:gd name="adj2" fmla="val 5090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mathias.schindler@lwk-niedersachsen.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F2D2-3895-429C-A469-39D1718F394B}">
  <dimension ref="B1:BH169"/>
  <sheetViews>
    <sheetView tabSelected="1" workbookViewId="0">
      <pane ySplit="12" topLeftCell="A13" activePane="bottomLeft" state="frozen"/>
      <selection pane="bottomLeft" activeCell="A46" sqref="A46:XFD46"/>
    </sheetView>
  </sheetViews>
  <sheetFormatPr baseColWidth="10" defaultRowHeight="13.2" x14ac:dyDescent="0.3"/>
  <cols>
    <col min="1" max="1" width="11.5546875" style="4"/>
    <col min="2" max="2" width="13.77734375" style="249" customWidth="1"/>
    <col min="3" max="3" width="13.77734375" style="4" bestFit="1" customWidth="1"/>
    <col min="4" max="4" width="12.21875" style="250" bestFit="1" customWidth="1"/>
    <col min="5" max="5" width="12.77734375" style="250" bestFit="1" customWidth="1"/>
    <col min="6" max="7" width="9.77734375" style="4" hidden="1" customWidth="1"/>
    <col min="8" max="8" width="12.44140625" style="4" hidden="1" customWidth="1"/>
    <col min="9" max="9" width="20.77734375" style="4" hidden="1" customWidth="1"/>
    <col min="10" max="10" width="6.5546875" style="4" hidden="1" customWidth="1"/>
    <col min="11" max="11" width="13.44140625" style="4" hidden="1" customWidth="1"/>
    <col min="12" max="12" width="6.5546875" style="4" hidden="1" customWidth="1"/>
    <col min="13" max="13" width="12.5546875" style="4" hidden="1" customWidth="1"/>
    <col min="14" max="14" width="6.5546875" style="4" hidden="1" customWidth="1"/>
    <col min="15" max="15" width="12.5546875" style="4" hidden="1" customWidth="1"/>
    <col min="16" max="16" width="6.5546875" style="4" hidden="1" customWidth="1"/>
    <col min="17" max="17" width="12.5546875" style="4" hidden="1" customWidth="1"/>
    <col min="18" max="18" width="6.5546875" style="4" hidden="1" customWidth="1"/>
    <col min="19" max="19" width="12.5546875" style="4" hidden="1" customWidth="1"/>
    <col min="20" max="20" width="6.5546875" style="4" hidden="1" customWidth="1"/>
    <col min="21" max="21" width="12.5546875" style="4" hidden="1" customWidth="1"/>
    <col min="22" max="22" width="6.5546875" style="4" hidden="1" customWidth="1"/>
    <col min="23" max="23" width="12.5546875" style="4" hidden="1" customWidth="1"/>
    <col min="24" max="24" width="6.5546875" style="4" hidden="1" customWidth="1"/>
    <col min="25" max="25" width="12.5546875" style="4" hidden="1" customWidth="1"/>
    <col min="26" max="26" width="6.5546875" style="4" hidden="1" customWidth="1"/>
    <col min="27" max="27" width="12.5546875" style="4" hidden="1" customWidth="1"/>
    <col min="28" max="28" width="6.5546875" style="4" hidden="1" customWidth="1"/>
    <col min="29" max="29" width="12.5546875" style="4" hidden="1" customWidth="1"/>
    <col min="30" max="30" width="6.5546875" style="4" hidden="1" customWidth="1"/>
    <col min="31" max="31" width="12.5546875" style="4" hidden="1" customWidth="1"/>
    <col min="32" max="32" width="6.5546875" style="4" hidden="1" customWidth="1"/>
    <col min="33" max="33" width="12.5546875" style="4" hidden="1" customWidth="1"/>
    <col min="34" max="34" width="6.5546875" style="4" hidden="1" customWidth="1"/>
    <col min="35" max="35" width="12.5546875" style="4" hidden="1" customWidth="1"/>
    <col min="36" max="36" width="6.5546875" style="4" hidden="1" customWidth="1"/>
    <col min="37" max="37" width="12.5546875" style="4" hidden="1" customWidth="1"/>
    <col min="38" max="38" width="6.5546875" style="4" hidden="1" customWidth="1"/>
    <col min="39" max="39" width="12.5546875" style="4" hidden="1" customWidth="1"/>
    <col min="40" max="40" width="6.5546875" style="4" hidden="1" customWidth="1"/>
    <col min="41" max="41" width="12.5546875" style="4" hidden="1" customWidth="1"/>
    <col min="42" max="42" width="6.5546875" style="4" hidden="1" customWidth="1"/>
    <col min="43" max="43" width="12.5546875" style="4" hidden="1" customWidth="1"/>
    <col min="44" max="44" width="6.5546875" style="4" hidden="1" customWidth="1"/>
    <col min="45" max="45" width="12.5546875" style="4" hidden="1" customWidth="1"/>
    <col min="46" max="46" width="10.21875" style="4" hidden="1" customWidth="1"/>
    <col min="47" max="47" width="10.77734375" style="4" hidden="1" customWidth="1"/>
    <col min="48" max="48" width="10.21875" style="4" hidden="1" customWidth="1"/>
    <col min="49" max="49" width="9.5546875" style="4" hidden="1" customWidth="1"/>
    <col min="50" max="50" width="8.77734375" style="4" hidden="1" customWidth="1"/>
    <col min="51" max="51" width="10.21875" style="4" hidden="1" customWidth="1"/>
    <col min="52" max="52" width="9.5546875" style="4" hidden="1" customWidth="1"/>
    <col min="53" max="54" width="11.5546875" style="4" hidden="1" customWidth="1"/>
    <col min="55" max="55" width="13.77734375" style="4" bestFit="1" customWidth="1"/>
    <col min="56" max="56" width="13" style="250" customWidth="1"/>
    <col min="57" max="57" width="14" style="4" customWidth="1"/>
    <col min="58" max="58" width="4.77734375" style="4" bestFit="1" customWidth="1"/>
    <col min="59" max="59" width="11.5546875" style="4"/>
    <col min="60" max="60" width="12.21875" style="4" bestFit="1" customWidth="1"/>
    <col min="61" max="296" width="11.5546875" style="4"/>
    <col min="297" max="297" width="3.21875" style="4" customWidth="1"/>
    <col min="298" max="298" width="34.44140625" style="4" customWidth="1"/>
    <col min="299" max="299" width="8.5546875" style="4" customWidth="1"/>
    <col min="300" max="300" width="20.5546875" style="4" customWidth="1"/>
    <col min="301" max="301" width="12.44140625" style="4" customWidth="1"/>
    <col min="302" max="552" width="11.5546875" style="4"/>
    <col min="553" max="553" width="3.21875" style="4" customWidth="1"/>
    <col min="554" max="554" width="34.44140625" style="4" customWidth="1"/>
    <col min="555" max="555" width="8.5546875" style="4" customWidth="1"/>
    <col min="556" max="556" width="20.5546875" style="4" customWidth="1"/>
    <col min="557" max="557" width="12.44140625" style="4" customWidth="1"/>
    <col min="558" max="808" width="11.5546875" style="4"/>
    <col min="809" max="809" width="3.21875" style="4" customWidth="1"/>
    <col min="810" max="810" width="34.44140625" style="4" customWidth="1"/>
    <col min="811" max="811" width="8.5546875" style="4" customWidth="1"/>
    <col min="812" max="812" width="20.5546875" style="4" customWidth="1"/>
    <col min="813" max="813" width="12.44140625" style="4" customWidth="1"/>
    <col min="814" max="1064" width="11.5546875" style="4"/>
    <col min="1065" max="1065" width="3.21875" style="4" customWidth="1"/>
    <col min="1066" max="1066" width="34.44140625" style="4" customWidth="1"/>
    <col min="1067" max="1067" width="8.5546875" style="4" customWidth="1"/>
    <col min="1068" max="1068" width="20.5546875" style="4" customWidth="1"/>
    <col min="1069" max="1069" width="12.44140625" style="4" customWidth="1"/>
    <col min="1070" max="1320" width="11.5546875" style="4"/>
    <col min="1321" max="1321" width="3.21875" style="4" customWidth="1"/>
    <col min="1322" max="1322" width="34.44140625" style="4" customWidth="1"/>
    <col min="1323" max="1323" width="8.5546875" style="4" customWidth="1"/>
    <col min="1324" max="1324" width="20.5546875" style="4" customWidth="1"/>
    <col min="1325" max="1325" width="12.44140625" style="4" customWidth="1"/>
    <col min="1326" max="1576" width="11.5546875" style="4"/>
    <col min="1577" max="1577" width="3.21875" style="4" customWidth="1"/>
    <col min="1578" max="1578" width="34.44140625" style="4" customWidth="1"/>
    <col min="1579" max="1579" width="8.5546875" style="4" customWidth="1"/>
    <col min="1580" max="1580" width="20.5546875" style="4" customWidth="1"/>
    <col min="1581" max="1581" width="12.44140625" style="4" customWidth="1"/>
    <col min="1582" max="1832" width="11.5546875" style="4"/>
    <col min="1833" max="1833" width="3.21875" style="4" customWidth="1"/>
    <col min="1834" max="1834" width="34.44140625" style="4" customWidth="1"/>
    <col min="1835" max="1835" width="8.5546875" style="4" customWidth="1"/>
    <col min="1836" max="1836" width="20.5546875" style="4" customWidth="1"/>
    <col min="1837" max="1837" width="12.44140625" style="4" customWidth="1"/>
    <col min="1838" max="2088" width="11.5546875" style="4"/>
    <col min="2089" max="2089" width="3.21875" style="4" customWidth="1"/>
    <col min="2090" max="2090" width="34.44140625" style="4" customWidth="1"/>
    <col min="2091" max="2091" width="8.5546875" style="4" customWidth="1"/>
    <col min="2092" max="2092" width="20.5546875" style="4" customWidth="1"/>
    <col min="2093" max="2093" width="12.44140625" style="4" customWidth="1"/>
    <col min="2094" max="2344" width="11.5546875" style="4"/>
    <col min="2345" max="2345" width="3.21875" style="4" customWidth="1"/>
    <col min="2346" max="2346" width="34.44140625" style="4" customWidth="1"/>
    <col min="2347" max="2347" width="8.5546875" style="4" customWidth="1"/>
    <col min="2348" max="2348" width="20.5546875" style="4" customWidth="1"/>
    <col min="2349" max="2349" width="12.44140625" style="4" customWidth="1"/>
    <col min="2350" max="2600" width="11.5546875" style="4"/>
    <col min="2601" max="2601" width="3.21875" style="4" customWidth="1"/>
    <col min="2602" max="2602" width="34.44140625" style="4" customWidth="1"/>
    <col min="2603" max="2603" width="8.5546875" style="4" customWidth="1"/>
    <col min="2604" max="2604" width="20.5546875" style="4" customWidth="1"/>
    <col min="2605" max="2605" width="12.44140625" style="4" customWidth="1"/>
    <col min="2606" max="2856" width="11.5546875" style="4"/>
    <col min="2857" max="2857" width="3.21875" style="4" customWidth="1"/>
    <col min="2858" max="2858" width="34.44140625" style="4" customWidth="1"/>
    <col min="2859" max="2859" width="8.5546875" style="4" customWidth="1"/>
    <col min="2860" max="2860" width="20.5546875" style="4" customWidth="1"/>
    <col min="2861" max="2861" width="12.44140625" style="4" customWidth="1"/>
    <col min="2862" max="3112" width="11.5546875" style="4"/>
    <col min="3113" max="3113" width="3.21875" style="4" customWidth="1"/>
    <col min="3114" max="3114" width="34.44140625" style="4" customWidth="1"/>
    <col min="3115" max="3115" width="8.5546875" style="4" customWidth="1"/>
    <col min="3116" max="3116" width="20.5546875" style="4" customWidth="1"/>
    <col min="3117" max="3117" width="12.44140625" style="4" customWidth="1"/>
    <col min="3118" max="3368" width="11.5546875" style="4"/>
    <col min="3369" max="3369" width="3.21875" style="4" customWidth="1"/>
    <col min="3370" max="3370" width="34.44140625" style="4" customWidth="1"/>
    <col min="3371" max="3371" width="8.5546875" style="4" customWidth="1"/>
    <col min="3372" max="3372" width="20.5546875" style="4" customWidth="1"/>
    <col min="3373" max="3373" width="12.44140625" style="4" customWidth="1"/>
    <col min="3374" max="3624" width="11.5546875" style="4"/>
    <col min="3625" max="3625" width="3.21875" style="4" customWidth="1"/>
    <col min="3626" max="3626" width="34.44140625" style="4" customWidth="1"/>
    <col min="3627" max="3627" width="8.5546875" style="4" customWidth="1"/>
    <col min="3628" max="3628" width="20.5546875" style="4" customWidth="1"/>
    <col min="3629" max="3629" width="12.44140625" style="4" customWidth="1"/>
    <col min="3630" max="3880" width="11.5546875" style="4"/>
    <col min="3881" max="3881" width="3.21875" style="4" customWidth="1"/>
    <col min="3882" max="3882" width="34.44140625" style="4" customWidth="1"/>
    <col min="3883" max="3883" width="8.5546875" style="4" customWidth="1"/>
    <col min="3884" max="3884" width="20.5546875" style="4" customWidth="1"/>
    <col min="3885" max="3885" width="12.44140625" style="4" customWidth="1"/>
    <col min="3886" max="4136" width="11.5546875" style="4"/>
    <col min="4137" max="4137" width="3.21875" style="4" customWidth="1"/>
    <col min="4138" max="4138" width="34.44140625" style="4" customWidth="1"/>
    <col min="4139" max="4139" width="8.5546875" style="4" customWidth="1"/>
    <col min="4140" max="4140" width="20.5546875" style="4" customWidth="1"/>
    <col min="4141" max="4141" width="12.44140625" style="4" customWidth="1"/>
    <col min="4142" max="4392" width="11.5546875" style="4"/>
    <col min="4393" max="4393" width="3.21875" style="4" customWidth="1"/>
    <col min="4394" max="4394" width="34.44140625" style="4" customWidth="1"/>
    <col min="4395" max="4395" width="8.5546875" style="4" customWidth="1"/>
    <col min="4396" max="4396" width="20.5546875" style="4" customWidth="1"/>
    <col min="4397" max="4397" width="12.44140625" style="4" customWidth="1"/>
    <col min="4398" max="4648" width="11.5546875" style="4"/>
    <col min="4649" max="4649" width="3.21875" style="4" customWidth="1"/>
    <col min="4650" max="4650" width="34.44140625" style="4" customWidth="1"/>
    <col min="4651" max="4651" width="8.5546875" style="4" customWidth="1"/>
    <col min="4652" max="4652" width="20.5546875" style="4" customWidth="1"/>
    <col min="4653" max="4653" width="12.44140625" style="4" customWidth="1"/>
    <col min="4654" max="4904" width="11.5546875" style="4"/>
    <col min="4905" max="4905" width="3.21875" style="4" customWidth="1"/>
    <col min="4906" max="4906" width="34.44140625" style="4" customWidth="1"/>
    <col min="4907" max="4907" width="8.5546875" style="4" customWidth="1"/>
    <col min="4908" max="4908" width="20.5546875" style="4" customWidth="1"/>
    <col min="4909" max="4909" width="12.44140625" style="4" customWidth="1"/>
    <col min="4910" max="5160" width="11.5546875" style="4"/>
    <col min="5161" max="5161" width="3.21875" style="4" customWidth="1"/>
    <col min="5162" max="5162" width="34.44140625" style="4" customWidth="1"/>
    <col min="5163" max="5163" width="8.5546875" style="4" customWidth="1"/>
    <col min="5164" max="5164" width="20.5546875" style="4" customWidth="1"/>
    <col min="5165" max="5165" width="12.44140625" style="4" customWidth="1"/>
    <col min="5166" max="5416" width="11.5546875" style="4"/>
    <col min="5417" max="5417" width="3.21875" style="4" customWidth="1"/>
    <col min="5418" max="5418" width="34.44140625" style="4" customWidth="1"/>
    <col min="5419" max="5419" width="8.5546875" style="4" customWidth="1"/>
    <col min="5420" max="5420" width="20.5546875" style="4" customWidth="1"/>
    <col min="5421" max="5421" width="12.44140625" style="4" customWidth="1"/>
    <col min="5422" max="5672" width="11.5546875" style="4"/>
    <col min="5673" max="5673" width="3.21875" style="4" customWidth="1"/>
    <col min="5674" max="5674" width="34.44140625" style="4" customWidth="1"/>
    <col min="5675" max="5675" width="8.5546875" style="4" customWidth="1"/>
    <col min="5676" max="5676" width="20.5546875" style="4" customWidth="1"/>
    <col min="5677" max="5677" width="12.44140625" style="4" customWidth="1"/>
    <col min="5678" max="5928" width="11.5546875" style="4"/>
    <col min="5929" max="5929" width="3.21875" style="4" customWidth="1"/>
    <col min="5930" max="5930" width="34.44140625" style="4" customWidth="1"/>
    <col min="5931" max="5931" width="8.5546875" style="4" customWidth="1"/>
    <col min="5932" max="5932" width="20.5546875" style="4" customWidth="1"/>
    <col min="5933" max="5933" width="12.44140625" style="4" customWidth="1"/>
    <col min="5934" max="6184" width="11.5546875" style="4"/>
    <col min="6185" max="6185" width="3.21875" style="4" customWidth="1"/>
    <col min="6186" max="6186" width="34.44140625" style="4" customWidth="1"/>
    <col min="6187" max="6187" width="8.5546875" style="4" customWidth="1"/>
    <col min="6188" max="6188" width="20.5546875" style="4" customWidth="1"/>
    <col min="6189" max="6189" width="12.44140625" style="4" customWidth="1"/>
    <col min="6190" max="6440" width="11.5546875" style="4"/>
    <col min="6441" max="6441" width="3.21875" style="4" customWidth="1"/>
    <col min="6442" max="6442" width="34.44140625" style="4" customWidth="1"/>
    <col min="6443" max="6443" width="8.5546875" style="4" customWidth="1"/>
    <col min="6444" max="6444" width="20.5546875" style="4" customWidth="1"/>
    <col min="6445" max="6445" width="12.44140625" style="4" customWidth="1"/>
    <col min="6446" max="6696" width="11.5546875" style="4"/>
    <col min="6697" max="6697" width="3.21875" style="4" customWidth="1"/>
    <col min="6698" max="6698" width="34.44140625" style="4" customWidth="1"/>
    <col min="6699" max="6699" width="8.5546875" style="4" customWidth="1"/>
    <col min="6700" max="6700" width="20.5546875" style="4" customWidth="1"/>
    <col min="6701" max="6701" width="12.44140625" style="4" customWidth="1"/>
    <col min="6702" max="6952" width="11.5546875" style="4"/>
    <col min="6953" max="6953" width="3.21875" style="4" customWidth="1"/>
    <col min="6954" max="6954" width="34.44140625" style="4" customWidth="1"/>
    <col min="6955" max="6955" width="8.5546875" style="4" customWidth="1"/>
    <col min="6956" max="6956" width="20.5546875" style="4" customWidth="1"/>
    <col min="6957" max="6957" width="12.44140625" style="4" customWidth="1"/>
    <col min="6958" max="7208" width="11.5546875" style="4"/>
    <col min="7209" max="7209" width="3.21875" style="4" customWidth="1"/>
    <col min="7210" max="7210" width="34.44140625" style="4" customWidth="1"/>
    <col min="7211" max="7211" width="8.5546875" style="4" customWidth="1"/>
    <col min="7212" max="7212" width="20.5546875" style="4" customWidth="1"/>
    <col min="7213" max="7213" width="12.44140625" style="4" customWidth="1"/>
    <col min="7214" max="7464" width="11.5546875" style="4"/>
    <col min="7465" max="7465" width="3.21875" style="4" customWidth="1"/>
    <col min="7466" max="7466" width="34.44140625" style="4" customWidth="1"/>
    <col min="7467" max="7467" width="8.5546875" style="4" customWidth="1"/>
    <col min="7468" max="7468" width="20.5546875" style="4" customWidth="1"/>
    <col min="7469" max="7469" width="12.44140625" style="4" customWidth="1"/>
    <col min="7470" max="7720" width="11.5546875" style="4"/>
    <col min="7721" max="7721" width="3.21875" style="4" customWidth="1"/>
    <col min="7722" max="7722" width="34.44140625" style="4" customWidth="1"/>
    <col min="7723" max="7723" width="8.5546875" style="4" customWidth="1"/>
    <col min="7724" max="7724" width="20.5546875" style="4" customWidth="1"/>
    <col min="7725" max="7725" width="12.44140625" style="4" customWidth="1"/>
    <col min="7726" max="7976" width="11.5546875" style="4"/>
    <col min="7977" max="7977" width="3.21875" style="4" customWidth="1"/>
    <col min="7978" max="7978" width="34.44140625" style="4" customWidth="1"/>
    <col min="7979" max="7979" width="8.5546875" style="4" customWidth="1"/>
    <col min="7980" max="7980" width="20.5546875" style="4" customWidth="1"/>
    <col min="7981" max="7981" width="12.44140625" style="4" customWidth="1"/>
    <col min="7982" max="8232" width="11.5546875" style="4"/>
    <col min="8233" max="8233" width="3.21875" style="4" customWidth="1"/>
    <col min="8234" max="8234" width="34.44140625" style="4" customWidth="1"/>
    <col min="8235" max="8235" width="8.5546875" style="4" customWidth="1"/>
    <col min="8236" max="8236" width="20.5546875" style="4" customWidth="1"/>
    <col min="8237" max="8237" width="12.44140625" style="4" customWidth="1"/>
    <col min="8238" max="8488" width="11.5546875" style="4"/>
    <col min="8489" max="8489" width="3.21875" style="4" customWidth="1"/>
    <col min="8490" max="8490" width="34.44140625" style="4" customWidth="1"/>
    <col min="8491" max="8491" width="8.5546875" style="4" customWidth="1"/>
    <col min="8492" max="8492" width="20.5546875" style="4" customWidth="1"/>
    <col min="8493" max="8493" width="12.44140625" style="4" customWidth="1"/>
    <col min="8494" max="8744" width="11.5546875" style="4"/>
    <col min="8745" max="8745" width="3.21875" style="4" customWidth="1"/>
    <col min="8746" max="8746" width="34.44140625" style="4" customWidth="1"/>
    <col min="8747" max="8747" width="8.5546875" style="4" customWidth="1"/>
    <col min="8748" max="8748" width="20.5546875" style="4" customWidth="1"/>
    <col min="8749" max="8749" width="12.44140625" style="4" customWidth="1"/>
    <col min="8750" max="9000" width="11.5546875" style="4"/>
    <col min="9001" max="9001" width="3.21875" style="4" customWidth="1"/>
    <col min="9002" max="9002" width="34.44140625" style="4" customWidth="1"/>
    <col min="9003" max="9003" width="8.5546875" style="4" customWidth="1"/>
    <col min="9004" max="9004" width="20.5546875" style="4" customWidth="1"/>
    <col min="9005" max="9005" width="12.44140625" style="4" customWidth="1"/>
    <col min="9006" max="9256" width="11.5546875" style="4"/>
    <col min="9257" max="9257" width="3.21875" style="4" customWidth="1"/>
    <col min="9258" max="9258" width="34.44140625" style="4" customWidth="1"/>
    <col min="9259" max="9259" width="8.5546875" style="4" customWidth="1"/>
    <col min="9260" max="9260" width="20.5546875" style="4" customWidth="1"/>
    <col min="9261" max="9261" width="12.44140625" style="4" customWidth="1"/>
    <col min="9262" max="9512" width="11.5546875" style="4"/>
    <col min="9513" max="9513" width="3.21875" style="4" customWidth="1"/>
    <col min="9514" max="9514" width="34.44140625" style="4" customWidth="1"/>
    <col min="9515" max="9515" width="8.5546875" style="4" customWidth="1"/>
    <col min="9516" max="9516" width="20.5546875" style="4" customWidth="1"/>
    <col min="9517" max="9517" width="12.44140625" style="4" customWidth="1"/>
    <col min="9518" max="9768" width="11.5546875" style="4"/>
    <col min="9769" max="9769" width="3.21875" style="4" customWidth="1"/>
    <col min="9770" max="9770" width="34.44140625" style="4" customWidth="1"/>
    <col min="9771" max="9771" width="8.5546875" style="4" customWidth="1"/>
    <col min="9772" max="9772" width="20.5546875" style="4" customWidth="1"/>
    <col min="9773" max="9773" width="12.44140625" style="4" customWidth="1"/>
    <col min="9774" max="10024" width="11.5546875" style="4"/>
    <col min="10025" max="10025" width="3.21875" style="4" customWidth="1"/>
    <col min="10026" max="10026" width="34.44140625" style="4" customWidth="1"/>
    <col min="10027" max="10027" width="8.5546875" style="4" customWidth="1"/>
    <col min="10028" max="10028" width="20.5546875" style="4" customWidth="1"/>
    <col min="10029" max="10029" width="12.44140625" style="4" customWidth="1"/>
    <col min="10030" max="10280" width="11.5546875" style="4"/>
    <col min="10281" max="10281" width="3.21875" style="4" customWidth="1"/>
    <col min="10282" max="10282" width="34.44140625" style="4" customWidth="1"/>
    <col min="10283" max="10283" width="8.5546875" style="4" customWidth="1"/>
    <col min="10284" max="10284" width="20.5546875" style="4" customWidth="1"/>
    <col min="10285" max="10285" width="12.44140625" style="4" customWidth="1"/>
    <col min="10286" max="10536" width="11.5546875" style="4"/>
    <col min="10537" max="10537" width="3.21875" style="4" customWidth="1"/>
    <col min="10538" max="10538" width="34.44140625" style="4" customWidth="1"/>
    <col min="10539" max="10539" width="8.5546875" style="4" customWidth="1"/>
    <col min="10540" max="10540" width="20.5546875" style="4" customWidth="1"/>
    <col min="10541" max="10541" width="12.44140625" style="4" customWidth="1"/>
    <col min="10542" max="10792" width="11.5546875" style="4"/>
    <col min="10793" max="10793" width="3.21875" style="4" customWidth="1"/>
    <col min="10794" max="10794" width="34.44140625" style="4" customWidth="1"/>
    <col min="10795" max="10795" width="8.5546875" style="4" customWidth="1"/>
    <col min="10796" max="10796" width="20.5546875" style="4" customWidth="1"/>
    <col min="10797" max="10797" width="12.44140625" style="4" customWidth="1"/>
    <col min="10798" max="11048" width="11.5546875" style="4"/>
    <col min="11049" max="11049" width="3.21875" style="4" customWidth="1"/>
    <col min="11050" max="11050" width="34.44140625" style="4" customWidth="1"/>
    <col min="11051" max="11051" width="8.5546875" style="4" customWidth="1"/>
    <col min="11052" max="11052" width="20.5546875" style="4" customWidth="1"/>
    <col min="11053" max="11053" width="12.44140625" style="4" customWidth="1"/>
    <col min="11054" max="11304" width="11.5546875" style="4"/>
    <col min="11305" max="11305" width="3.21875" style="4" customWidth="1"/>
    <col min="11306" max="11306" width="34.44140625" style="4" customWidth="1"/>
    <col min="11307" max="11307" width="8.5546875" style="4" customWidth="1"/>
    <col min="11308" max="11308" width="20.5546875" style="4" customWidth="1"/>
    <col min="11309" max="11309" width="12.44140625" style="4" customWidth="1"/>
    <col min="11310" max="11560" width="11.5546875" style="4"/>
    <col min="11561" max="11561" width="3.21875" style="4" customWidth="1"/>
    <col min="11562" max="11562" width="34.44140625" style="4" customWidth="1"/>
    <col min="11563" max="11563" width="8.5546875" style="4" customWidth="1"/>
    <col min="11564" max="11564" width="20.5546875" style="4" customWidth="1"/>
    <col min="11565" max="11565" width="12.44140625" style="4" customWidth="1"/>
    <col min="11566" max="11816" width="11.5546875" style="4"/>
    <col min="11817" max="11817" width="3.21875" style="4" customWidth="1"/>
    <col min="11818" max="11818" width="34.44140625" style="4" customWidth="1"/>
    <col min="11819" max="11819" width="8.5546875" style="4" customWidth="1"/>
    <col min="11820" max="11820" width="20.5546875" style="4" customWidth="1"/>
    <col min="11821" max="11821" width="12.44140625" style="4" customWidth="1"/>
    <col min="11822" max="12072" width="11.5546875" style="4"/>
    <col min="12073" max="12073" width="3.21875" style="4" customWidth="1"/>
    <col min="12074" max="12074" width="34.44140625" style="4" customWidth="1"/>
    <col min="12075" max="12075" width="8.5546875" style="4" customWidth="1"/>
    <col min="12076" max="12076" width="20.5546875" style="4" customWidth="1"/>
    <col min="12077" max="12077" width="12.44140625" style="4" customWidth="1"/>
    <col min="12078" max="12328" width="11.5546875" style="4"/>
    <col min="12329" max="12329" width="3.21875" style="4" customWidth="1"/>
    <col min="12330" max="12330" width="34.44140625" style="4" customWidth="1"/>
    <col min="12331" max="12331" width="8.5546875" style="4" customWidth="1"/>
    <col min="12332" max="12332" width="20.5546875" style="4" customWidth="1"/>
    <col min="12333" max="12333" width="12.44140625" style="4" customWidth="1"/>
    <col min="12334" max="12584" width="11.5546875" style="4"/>
    <col min="12585" max="12585" width="3.21875" style="4" customWidth="1"/>
    <col min="12586" max="12586" width="34.44140625" style="4" customWidth="1"/>
    <col min="12587" max="12587" width="8.5546875" style="4" customWidth="1"/>
    <col min="12588" max="12588" width="20.5546875" style="4" customWidth="1"/>
    <col min="12589" max="12589" width="12.44140625" style="4" customWidth="1"/>
    <col min="12590" max="12840" width="11.5546875" style="4"/>
    <col min="12841" max="12841" width="3.21875" style="4" customWidth="1"/>
    <col min="12842" max="12842" width="34.44140625" style="4" customWidth="1"/>
    <col min="12843" max="12843" width="8.5546875" style="4" customWidth="1"/>
    <col min="12844" max="12844" width="20.5546875" style="4" customWidth="1"/>
    <col min="12845" max="12845" width="12.44140625" style="4" customWidth="1"/>
    <col min="12846" max="13096" width="11.5546875" style="4"/>
    <col min="13097" max="13097" width="3.21875" style="4" customWidth="1"/>
    <col min="13098" max="13098" width="34.44140625" style="4" customWidth="1"/>
    <col min="13099" max="13099" width="8.5546875" style="4" customWidth="1"/>
    <col min="13100" max="13100" width="20.5546875" style="4" customWidth="1"/>
    <col min="13101" max="13101" width="12.44140625" style="4" customWidth="1"/>
    <col min="13102" max="13352" width="11.5546875" style="4"/>
    <col min="13353" max="13353" width="3.21875" style="4" customWidth="1"/>
    <col min="13354" max="13354" width="34.44140625" style="4" customWidth="1"/>
    <col min="13355" max="13355" width="8.5546875" style="4" customWidth="1"/>
    <col min="13356" max="13356" width="20.5546875" style="4" customWidth="1"/>
    <col min="13357" max="13357" width="12.44140625" style="4" customWidth="1"/>
    <col min="13358" max="13608" width="11.5546875" style="4"/>
    <col min="13609" max="13609" width="3.21875" style="4" customWidth="1"/>
    <col min="13610" max="13610" width="34.44140625" style="4" customWidth="1"/>
    <col min="13611" max="13611" width="8.5546875" style="4" customWidth="1"/>
    <col min="13612" max="13612" width="20.5546875" style="4" customWidth="1"/>
    <col min="13613" max="13613" width="12.44140625" style="4" customWidth="1"/>
    <col min="13614" max="13864" width="11.5546875" style="4"/>
    <col min="13865" max="13865" width="3.21875" style="4" customWidth="1"/>
    <col min="13866" max="13866" width="34.44140625" style="4" customWidth="1"/>
    <col min="13867" max="13867" width="8.5546875" style="4" customWidth="1"/>
    <col min="13868" max="13868" width="20.5546875" style="4" customWidth="1"/>
    <col min="13869" max="13869" width="12.44140625" style="4" customWidth="1"/>
    <col min="13870" max="14120" width="11.5546875" style="4"/>
    <col min="14121" max="14121" width="3.21875" style="4" customWidth="1"/>
    <col min="14122" max="14122" width="34.44140625" style="4" customWidth="1"/>
    <col min="14123" max="14123" width="8.5546875" style="4" customWidth="1"/>
    <col min="14124" max="14124" width="20.5546875" style="4" customWidth="1"/>
    <col min="14125" max="14125" width="12.44140625" style="4" customWidth="1"/>
    <col min="14126" max="14376" width="11.5546875" style="4"/>
    <col min="14377" max="14377" width="3.21875" style="4" customWidth="1"/>
    <col min="14378" max="14378" width="34.44140625" style="4" customWidth="1"/>
    <col min="14379" max="14379" width="8.5546875" style="4" customWidth="1"/>
    <col min="14380" max="14380" width="20.5546875" style="4" customWidth="1"/>
    <col min="14381" max="14381" width="12.44140625" style="4" customWidth="1"/>
    <col min="14382" max="14632" width="11.5546875" style="4"/>
    <col min="14633" max="14633" width="3.21875" style="4" customWidth="1"/>
    <col min="14634" max="14634" width="34.44140625" style="4" customWidth="1"/>
    <col min="14635" max="14635" width="8.5546875" style="4" customWidth="1"/>
    <col min="14636" max="14636" width="20.5546875" style="4" customWidth="1"/>
    <col min="14637" max="14637" width="12.44140625" style="4" customWidth="1"/>
    <col min="14638" max="14888" width="11.5546875" style="4"/>
    <col min="14889" max="14889" width="3.21875" style="4" customWidth="1"/>
    <col min="14890" max="14890" width="34.44140625" style="4" customWidth="1"/>
    <col min="14891" max="14891" width="8.5546875" style="4" customWidth="1"/>
    <col min="14892" max="14892" width="20.5546875" style="4" customWidth="1"/>
    <col min="14893" max="14893" width="12.44140625" style="4" customWidth="1"/>
    <col min="14894" max="15144" width="11.5546875" style="4"/>
    <col min="15145" max="15145" width="3.21875" style="4" customWidth="1"/>
    <col min="15146" max="15146" width="34.44140625" style="4" customWidth="1"/>
    <col min="15147" max="15147" width="8.5546875" style="4" customWidth="1"/>
    <col min="15148" max="15148" width="20.5546875" style="4" customWidth="1"/>
    <col min="15149" max="15149" width="12.44140625" style="4" customWidth="1"/>
    <col min="15150" max="15400" width="11.5546875" style="4"/>
    <col min="15401" max="15401" width="3.21875" style="4" customWidth="1"/>
    <col min="15402" max="15402" width="34.44140625" style="4" customWidth="1"/>
    <col min="15403" max="15403" width="8.5546875" style="4" customWidth="1"/>
    <col min="15404" max="15404" width="20.5546875" style="4" customWidth="1"/>
    <col min="15405" max="15405" width="12.44140625" style="4" customWidth="1"/>
    <col min="15406" max="15656" width="11.5546875" style="4"/>
    <col min="15657" max="15657" width="3.21875" style="4" customWidth="1"/>
    <col min="15658" max="15658" width="34.44140625" style="4" customWidth="1"/>
    <col min="15659" max="15659" width="8.5546875" style="4" customWidth="1"/>
    <col min="15660" max="15660" width="20.5546875" style="4" customWidth="1"/>
    <col min="15661" max="15661" width="12.44140625" style="4" customWidth="1"/>
    <col min="15662" max="15912" width="11.5546875" style="4"/>
    <col min="15913" max="15913" width="3.21875" style="4" customWidth="1"/>
    <col min="15914" max="15914" width="34.44140625" style="4" customWidth="1"/>
    <col min="15915" max="15915" width="8.5546875" style="4" customWidth="1"/>
    <col min="15916" max="15916" width="20.5546875" style="4" customWidth="1"/>
    <col min="15917" max="15917" width="12.44140625" style="4" customWidth="1"/>
    <col min="15918" max="16168" width="11.5546875" style="4"/>
    <col min="16169" max="16169" width="3.21875" style="4" customWidth="1"/>
    <col min="16170" max="16170" width="34.44140625" style="4" customWidth="1"/>
    <col min="16171" max="16171" width="8.5546875" style="4" customWidth="1"/>
    <col min="16172" max="16172" width="20.5546875" style="4" customWidth="1"/>
    <col min="16173" max="16173" width="12.44140625" style="4" customWidth="1"/>
    <col min="16174" max="16384" width="11.5546875" style="4"/>
  </cols>
  <sheetData>
    <row r="1" spans="2:57" s="2" customFormat="1" ht="15.6" x14ac:dyDescent="0.3">
      <c r="B1" s="1" t="s">
        <v>94</v>
      </c>
      <c r="D1" s="3"/>
      <c r="E1" s="3"/>
      <c r="I1" s="1"/>
      <c r="W1" s="4"/>
      <c r="X1" s="4"/>
      <c r="Y1" s="4"/>
      <c r="Z1" s="4"/>
      <c r="AA1" s="4"/>
      <c r="AB1" s="4"/>
      <c r="AC1" s="4"/>
      <c r="AD1" s="4"/>
      <c r="AE1" s="4"/>
      <c r="AF1" s="4"/>
      <c r="AG1" s="4"/>
      <c r="AH1" s="4"/>
      <c r="AI1" s="4"/>
      <c r="AJ1" s="4"/>
      <c r="AK1" s="4"/>
      <c r="AL1" s="4"/>
      <c r="AM1" s="4"/>
      <c r="AN1" s="4"/>
      <c r="AO1" s="4"/>
      <c r="AP1" s="4"/>
      <c r="AQ1" s="4"/>
      <c r="AR1" s="4"/>
      <c r="AS1" s="4"/>
      <c r="AT1" s="4"/>
      <c r="AU1" s="4"/>
      <c r="BA1" s="4"/>
      <c r="BB1" s="4"/>
    </row>
    <row r="2" spans="2:57" s="2" customFormat="1" ht="7.2" customHeight="1" thickBot="1" x14ac:dyDescent="0.35">
      <c r="B2" s="1"/>
      <c r="D2" s="3"/>
      <c r="E2" s="3"/>
      <c r="I2" s="4"/>
      <c r="J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BA2" s="4"/>
      <c r="BB2" s="4"/>
      <c r="BC2" s="4"/>
      <c r="BD2" s="3"/>
    </row>
    <row r="3" spans="2:57" ht="15.6" customHeight="1" x14ac:dyDescent="0.3">
      <c r="B3" s="5" t="s">
        <v>0</v>
      </c>
      <c r="C3" s="6"/>
      <c r="D3" s="7" t="s">
        <v>1</v>
      </c>
      <c r="E3" s="8" t="s">
        <v>2</v>
      </c>
      <c r="F3" s="9" t="s">
        <v>3</v>
      </c>
      <c r="G3" s="10"/>
      <c r="H3" s="11" t="s">
        <v>4</v>
      </c>
      <c r="J3" s="295" t="s">
        <v>5</v>
      </c>
      <c r="K3" s="295"/>
      <c r="L3" s="295"/>
      <c r="M3" s="295"/>
      <c r="N3" s="3"/>
      <c r="O3" s="12" t="s">
        <v>6</v>
      </c>
      <c r="P3" s="12"/>
      <c r="Q3" s="13" t="s">
        <v>7</v>
      </c>
      <c r="R3" s="13"/>
      <c r="AT3" s="369" t="s">
        <v>8</v>
      </c>
      <c r="AU3" s="369"/>
      <c r="AV3" s="369"/>
      <c r="AW3" s="369"/>
      <c r="AX3" s="369"/>
      <c r="AY3" s="369"/>
      <c r="AZ3" s="369"/>
      <c r="BA3" s="369"/>
      <c r="BB3" s="369"/>
      <c r="BC3" s="295" t="s">
        <v>5</v>
      </c>
      <c r="BD3" s="295"/>
      <c r="BE3" s="295"/>
    </row>
    <row r="4" spans="2:57" ht="17.100000000000001" customHeight="1" x14ac:dyDescent="0.3">
      <c r="B4" s="14" t="s">
        <v>9</v>
      </c>
      <c r="C4" s="15" t="s">
        <v>10</v>
      </c>
      <c r="D4" s="16">
        <v>1</v>
      </c>
      <c r="E4" s="17">
        <v>1350</v>
      </c>
      <c r="F4" s="371">
        <f>10.47/480</f>
        <v>2.1812500000000002E-2</v>
      </c>
      <c r="G4" s="372"/>
      <c r="H4" s="18">
        <f>D4*E4*F4</f>
        <v>29.446875000000002</v>
      </c>
      <c r="J4" s="295"/>
      <c r="K4" s="295"/>
      <c r="L4" s="295"/>
      <c r="M4" s="295"/>
      <c r="N4" s="19"/>
      <c r="S4" s="2"/>
      <c r="T4" s="2"/>
      <c r="AE4" s="2"/>
      <c r="AF4" s="2"/>
      <c r="AG4" s="2"/>
      <c r="AH4" s="2"/>
      <c r="AI4" s="2"/>
      <c r="AJ4" s="2"/>
      <c r="AK4" s="2"/>
      <c r="AL4" s="2"/>
      <c r="AM4" s="2"/>
      <c r="AN4" s="2"/>
      <c r="AO4" s="2"/>
      <c r="AP4" s="2"/>
      <c r="AQ4" s="2"/>
      <c r="AR4" s="2"/>
      <c r="AS4" s="2"/>
      <c r="AT4" s="369"/>
      <c r="AU4" s="369"/>
      <c r="AV4" s="369"/>
      <c r="AW4" s="369"/>
      <c r="AX4" s="369"/>
      <c r="AY4" s="369"/>
      <c r="AZ4" s="369"/>
      <c r="BA4" s="369"/>
      <c r="BB4" s="369"/>
      <c r="BC4" s="295"/>
      <c r="BD4" s="295"/>
      <c r="BE4" s="295"/>
    </row>
    <row r="5" spans="2:57" ht="17.100000000000001" customHeight="1" x14ac:dyDescent="0.3">
      <c r="B5" s="20" t="s">
        <v>11</v>
      </c>
      <c r="C5" s="4" t="s">
        <v>12</v>
      </c>
      <c r="D5" s="21">
        <f>D4</f>
        <v>1</v>
      </c>
      <c r="E5" s="22">
        <v>1</v>
      </c>
      <c r="F5" s="373">
        <v>11.77</v>
      </c>
      <c r="G5" s="374"/>
      <c r="H5" s="23">
        <f>F5*E5*D5</f>
        <v>11.77</v>
      </c>
      <c r="J5" s="295"/>
      <c r="K5" s="295"/>
      <c r="L5" s="295"/>
      <c r="M5" s="295"/>
      <c r="N5" s="19"/>
      <c r="AT5" s="369"/>
      <c r="AU5" s="369"/>
      <c r="AV5" s="369"/>
      <c r="AW5" s="369"/>
      <c r="AX5" s="369"/>
      <c r="AY5" s="369"/>
      <c r="AZ5" s="369"/>
      <c r="BA5" s="369"/>
      <c r="BB5" s="369"/>
      <c r="BC5" s="295"/>
      <c r="BD5" s="295"/>
      <c r="BE5" s="295"/>
    </row>
    <row r="6" spans="2:57" ht="17.100000000000001" customHeight="1" x14ac:dyDescent="0.3">
      <c r="B6" s="20" t="s">
        <v>13</v>
      </c>
      <c r="C6" s="24">
        <v>23.5</v>
      </c>
      <c r="D6" s="21">
        <f>D5</f>
        <v>1</v>
      </c>
      <c r="E6" s="25">
        <v>0.151</v>
      </c>
      <c r="F6" s="375">
        <f>C6</f>
        <v>23.5</v>
      </c>
      <c r="G6" s="376"/>
      <c r="H6" s="18">
        <f>F6*E6*D6</f>
        <v>3.5484999999999998</v>
      </c>
      <c r="J6" s="377" t="s">
        <v>14</v>
      </c>
      <c r="K6" s="377"/>
      <c r="L6" s="377"/>
      <c r="M6" s="377"/>
      <c r="N6" s="379"/>
      <c r="O6" s="379"/>
      <c r="AT6" s="369"/>
      <c r="AU6" s="369"/>
      <c r="AV6" s="369"/>
      <c r="AW6" s="369"/>
      <c r="AX6" s="369"/>
      <c r="AY6" s="369"/>
      <c r="AZ6" s="369"/>
      <c r="BA6" s="369"/>
      <c r="BB6" s="369"/>
      <c r="BC6" s="377" t="s">
        <v>14</v>
      </c>
      <c r="BD6" s="377"/>
      <c r="BE6" s="377"/>
    </row>
    <row r="7" spans="2:57" ht="17.100000000000001" customHeight="1" x14ac:dyDescent="0.3">
      <c r="B7" s="26" t="s">
        <v>15</v>
      </c>
      <c r="C7" s="27"/>
      <c r="D7" s="28"/>
      <c r="E7" s="29"/>
      <c r="F7" s="30"/>
      <c r="G7" s="31"/>
      <c r="H7" s="32">
        <f>F7*E7*D7</f>
        <v>0</v>
      </c>
      <c r="J7" s="377"/>
      <c r="K7" s="377"/>
      <c r="L7" s="377"/>
      <c r="M7" s="377"/>
      <c r="N7" s="19"/>
      <c r="AE7" s="33"/>
      <c r="AF7" s="33"/>
      <c r="AT7" s="369"/>
      <c r="AU7" s="369"/>
      <c r="AV7" s="369"/>
      <c r="AW7" s="369"/>
      <c r="AX7" s="369"/>
      <c r="AY7" s="369"/>
      <c r="AZ7" s="369"/>
      <c r="BA7" s="369"/>
      <c r="BB7" s="369"/>
      <c r="BC7" s="377"/>
      <c r="BD7" s="377"/>
      <c r="BE7" s="377"/>
    </row>
    <row r="8" spans="2:57" ht="17.100000000000001" customHeight="1" thickBot="1" x14ac:dyDescent="0.35">
      <c r="B8" s="34" t="s">
        <v>16</v>
      </c>
      <c r="C8" s="35"/>
      <c r="D8" s="36"/>
      <c r="E8" s="36"/>
      <c r="F8" s="37"/>
      <c r="G8" s="37"/>
      <c r="H8" s="38">
        <f>SUM(H4:H7)</f>
        <v>44.765374999999999</v>
      </c>
      <c r="J8" s="378"/>
      <c r="K8" s="378"/>
      <c r="L8" s="378"/>
      <c r="M8" s="378"/>
      <c r="N8" s="39"/>
      <c r="AT8" s="370"/>
      <c r="AU8" s="370"/>
      <c r="AV8" s="370"/>
      <c r="AW8" s="370"/>
      <c r="AX8" s="370"/>
      <c r="AY8" s="370"/>
      <c r="AZ8" s="370"/>
      <c r="BA8" s="370"/>
      <c r="BB8" s="370"/>
      <c r="BC8" s="378"/>
      <c r="BD8" s="378"/>
      <c r="BE8" s="378"/>
    </row>
    <row r="9" spans="2:57" ht="15" customHeight="1" x14ac:dyDescent="0.3">
      <c r="B9" s="40" t="s">
        <v>17</v>
      </c>
      <c r="C9" s="41" t="s">
        <v>18</v>
      </c>
      <c r="D9" s="42" t="s">
        <v>19</v>
      </c>
      <c r="E9" s="43" t="s">
        <v>20</v>
      </c>
      <c r="F9" s="366" t="s">
        <v>21</v>
      </c>
      <c r="G9" s="367"/>
      <c r="H9" s="367"/>
      <c r="I9" s="368"/>
      <c r="J9" s="354" t="s">
        <v>22</v>
      </c>
      <c r="K9" s="355"/>
      <c r="L9" s="355"/>
      <c r="M9" s="356"/>
      <c r="N9" s="354" t="s">
        <v>23</v>
      </c>
      <c r="O9" s="355"/>
      <c r="P9" s="355"/>
      <c r="Q9" s="356"/>
      <c r="R9" s="354" t="s">
        <v>24</v>
      </c>
      <c r="S9" s="355"/>
      <c r="T9" s="355"/>
      <c r="U9" s="356"/>
      <c r="V9" s="354" t="s">
        <v>25</v>
      </c>
      <c r="W9" s="355"/>
      <c r="X9" s="355"/>
      <c r="Y9" s="356"/>
      <c r="Z9" s="354" t="s">
        <v>26</v>
      </c>
      <c r="AA9" s="355"/>
      <c r="AB9" s="355"/>
      <c r="AC9" s="356"/>
      <c r="AD9" s="354" t="s">
        <v>27</v>
      </c>
      <c r="AE9" s="355"/>
      <c r="AF9" s="355"/>
      <c r="AG9" s="356"/>
      <c r="AH9" s="354" t="s">
        <v>28</v>
      </c>
      <c r="AI9" s="355"/>
      <c r="AJ9" s="355"/>
      <c r="AK9" s="356"/>
      <c r="AL9" s="354" t="s">
        <v>28</v>
      </c>
      <c r="AM9" s="355"/>
      <c r="AN9" s="355"/>
      <c r="AO9" s="356"/>
      <c r="AP9" s="354" t="s">
        <v>28</v>
      </c>
      <c r="AQ9" s="355"/>
      <c r="AR9" s="355"/>
      <c r="AS9" s="356"/>
      <c r="AT9" s="357" t="s">
        <v>29</v>
      </c>
      <c r="AU9" s="358"/>
      <c r="AV9" s="358"/>
      <c r="AW9" s="359"/>
      <c r="AX9" s="360" t="s">
        <v>30</v>
      </c>
      <c r="AY9" s="361"/>
      <c r="AZ9" s="310"/>
      <c r="BA9" s="318" t="s">
        <v>31</v>
      </c>
      <c r="BB9" s="318"/>
      <c r="BC9" s="326" t="s">
        <v>32</v>
      </c>
      <c r="BD9" s="326" t="s">
        <v>33</v>
      </c>
      <c r="BE9" s="381" t="s">
        <v>34</v>
      </c>
    </row>
    <row r="10" spans="2:57" ht="15" customHeight="1" x14ac:dyDescent="0.3">
      <c r="B10" s="44"/>
      <c r="C10" s="45" t="s">
        <v>35</v>
      </c>
      <c r="D10" s="46"/>
      <c r="E10" s="47" t="s">
        <v>36</v>
      </c>
      <c r="F10" s="48" t="s">
        <v>37</v>
      </c>
      <c r="G10" s="49" t="s">
        <v>2</v>
      </c>
      <c r="H10" s="50" t="s">
        <v>3</v>
      </c>
      <c r="I10" s="51" t="s">
        <v>38</v>
      </c>
      <c r="J10" s="362">
        <v>1</v>
      </c>
      <c r="K10" s="363"/>
      <c r="L10" s="352">
        <v>97.47</v>
      </c>
      <c r="M10" s="353"/>
      <c r="N10" s="362">
        <v>0.45454545454545453</v>
      </c>
      <c r="O10" s="363"/>
      <c r="P10" s="364">
        <v>35.47</v>
      </c>
      <c r="Q10" s="353"/>
      <c r="R10" s="362">
        <v>0.43478260869565222</v>
      </c>
      <c r="S10" s="365"/>
      <c r="T10" s="352">
        <v>34.42</v>
      </c>
      <c r="U10" s="353"/>
      <c r="V10" s="362">
        <v>0.14405762304921968</v>
      </c>
      <c r="W10" s="363"/>
      <c r="X10" s="364">
        <v>13.4</v>
      </c>
      <c r="Y10" s="353"/>
      <c r="Z10" s="362">
        <v>0.47619047619047616</v>
      </c>
      <c r="AA10" s="365"/>
      <c r="AB10" s="352">
        <v>35.549999999999997</v>
      </c>
      <c r="AC10" s="353"/>
      <c r="AD10" s="362">
        <v>0.48076923076923073</v>
      </c>
      <c r="AE10" s="363"/>
      <c r="AF10" s="364">
        <v>33.03</v>
      </c>
      <c r="AG10" s="353"/>
      <c r="AH10" s="362">
        <v>9.9999999999999995E-7</v>
      </c>
      <c r="AI10" s="363"/>
      <c r="AJ10" s="364">
        <v>1E-8</v>
      </c>
      <c r="AK10" s="353"/>
      <c r="AL10" s="362">
        <v>0</v>
      </c>
      <c r="AM10" s="363"/>
      <c r="AN10" s="364">
        <v>1E-8</v>
      </c>
      <c r="AO10" s="353"/>
      <c r="AP10" s="362">
        <v>9.9999999999999995E-7</v>
      </c>
      <c r="AQ10" s="363"/>
      <c r="AR10" s="352">
        <v>1E-8</v>
      </c>
      <c r="AS10" s="353"/>
      <c r="AT10" s="52" t="s">
        <v>39</v>
      </c>
      <c r="AU10" s="53" t="s">
        <v>40</v>
      </c>
      <c r="AV10" s="53" t="s">
        <v>41</v>
      </c>
      <c r="AW10" s="54" t="s">
        <v>42</v>
      </c>
      <c r="AX10" s="55" t="s">
        <v>43</v>
      </c>
      <c r="AY10" s="53" t="s">
        <v>44</v>
      </c>
      <c r="AZ10" s="56" t="s">
        <v>42</v>
      </c>
      <c r="BA10" s="57" t="s">
        <v>45</v>
      </c>
      <c r="BB10" s="57" t="s">
        <v>46</v>
      </c>
      <c r="BC10" s="327"/>
      <c r="BD10" s="327"/>
      <c r="BE10" s="382"/>
    </row>
    <row r="11" spans="2:57" ht="14.55" customHeight="1" x14ac:dyDescent="0.3">
      <c r="B11" s="44"/>
      <c r="C11" s="45"/>
      <c r="D11" s="46"/>
      <c r="E11" s="58"/>
      <c r="F11" s="48"/>
      <c r="G11" s="49"/>
      <c r="H11" s="50"/>
      <c r="I11" s="51"/>
      <c r="J11" s="59" t="s">
        <v>47</v>
      </c>
      <c r="K11" s="60"/>
      <c r="L11" s="61" t="s">
        <v>48</v>
      </c>
      <c r="M11" s="62"/>
      <c r="N11" s="348" t="str">
        <f>J11</f>
        <v>mit Glyphosat</v>
      </c>
      <c r="O11" s="349"/>
      <c r="P11" s="350" t="str">
        <f>L11</f>
        <v>ohne Glyphosat</v>
      </c>
      <c r="Q11" s="351"/>
      <c r="R11" s="348" t="str">
        <f>N11</f>
        <v>mit Glyphosat</v>
      </c>
      <c r="S11" s="349"/>
      <c r="T11" s="350" t="str">
        <f>P11</f>
        <v>ohne Glyphosat</v>
      </c>
      <c r="U11" s="351"/>
      <c r="V11" s="348" t="str">
        <f>R11</f>
        <v>mit Glyphosat</v>
      </c>
      <c r="W11" s="349"/>
      <c r="X11" s="350" t="str">
        <f>T11</f>
        <v>ohne Glyphosat</v>
      </c>
      <c r="Y11" s="351"/>
      <c r="Z11" s="348" t="str">
        <f>V11</f>
        <v>mit Glyphosat</v>
      </c>
      <c r="AA11" s="349"/>
      <c r="AB11" s="350" t="str">
        <f>X11</f>
        <v>ohne Glyphosat</v>
      </c>
      <c r="AC11" s="351"/>
      <c r="AD11" s="348" t="str">
        <f>Z11</f>
        <v>mit Glyphosat</v>
      </c>
      <c r="AE11" s="349"/>
      <c r="AF11" s="350" t="str">
        <f>AB11</f>
        <v>ohne Glyphosat</v>
      </c>
      <c r="AG11" s="351"/>
      <c r="AH11" s="348" t="str">
        <f>AD11</f>
        <v>mit Glyphosat</v>
      </c>
      <c r="AI11" s="349"/>
      <c r="AJ11" s="350" t="str">
        <f>AF11</f>
        <v>ohne Glyphosat</v>
      </c>
      <c r="AK11" s="351"/>
      <c r="AL11" s="348" t="str">
        <f>AH11</f>
        <v>mit Glyphosat</v>
      </c>
      <c r="AM11" s="349"/>
      <c r="AN11" s="350" t="str">
        <f>AJ11</f>
        <v>ohne Glyphosat</v>
      </c>
      <c r="AO11" s="351"/>
      <c r="AP11" s="348" t="str">
        <f>AL11</f>
        <v>mit Glyphosat</v>
      </c>
      <c r="AQ11" s="349"/>
      <c r="AR11" s="350" t="str">
        <f>AN11</f>
        <v>ohne Glyphosat</v>
      </c>
      <c r="AS11" s="351"/>
      <c r="AT11" s="52" t="s">
        <v>49</v>
      </c>
      <c r="AU11" s="53" t="s">
        <v>49</v>
      </c>
      <c r="AV11" s="53" t="s">
        <v>49</v>
      </c>
      <c r="AW11" s="54" t="s">
        <v>50</v>
      </c>
      <c r="AX11" s="55" t="s">
        <v>51</v>
      </c>
      <c r="AY11" s="53" t="s">
        <v>49</v>
      </c>
      <c r="AZ11" s="56" t="s">
        <v>50</v>
      </c>
      <c r="BA11" s="63" t="s">
        <v>52</v>
      </c>
      <c r="BB11" s="57" t="s">
        <v>52</v>
      </c>
      <c r="BC11" s="327"/>
      <c r="BD11" s="327"/>
      <c r="BE11" s="382"/>
    </row>
    <row r="12" spans="2:57" ht="14.4" thickBot="1" x14ac:dyDescent="0.35">
      <c r="B12" s="64"/>
      <c r="C12" s="65"/>
      <c r="D12" s="66"/>
      <c r="E12" s="67"/>
      <c r="F12" s="48"/>
      <c r="G12" s="49"/>
      <c r="H12" s="50"/>
      <c r="I12" s="51"/>
      <c r="J12" s="68" t="s">
        <v>53</v>
      </c>
      <c r="K12" s="69" t="s">
        <v>54</v>
      </c>
      <c r="L12" s="70" t="s">
        <v>53</v>
      </c>
      <c r="M12" s="69" t="s">
        <v>54</v>
      </c>
      <c r="N12" s="68" t="str">
        <f>J12</f>
        <v>Anzahl</v>
      </c>
      <c r="O12" s="69" t="s">
        <v>54</v>
      </c>
      <c r="P12" s="70" t="str">
        <f>L12</f>
        <v>Anzahl</v>
      </c>
      <c r="Q12" s="69" t="str">
        <f t="shared" ref="Q12" si="0">M12</f>
        <v>Arb.erl.kosten</v>
      </c>
      <c r="R12" s="68" t="str">
        <f>N12</f>
        <v>Anzahl</v>
      </c>
      <c r="S12" s="69" t="str">
        <f t="shared" ref="S12:Y12" si="1">O12</f>
        <v>Arb.erl.kosten</v>
      </c>
      <c r="T12" s="70" t="str">
        <f t="shared" si="1"/>
        <v>Anzahl</v>
      </c>
      <c r="U12" s="69" t="str">
        <f t="shared" si="1"/>
        <v>Arb.erl.kosten</v>
      </c>
      <c r="V12" s="68" t="str">
        <f>R12</f>
        <v>Anzahl</v>
      </c>
      <c r="W12" s="69" t="str">
        <f t="shared" si="1"/>
        <v>Arb.erl.kosten</v>
      </c>
      <c r="X12" s="70" t="str">
        <f t="shared" si="1"/>
        <v>Anzahl</v>
      </c>
      <c r="Y12" s="69" t="str">
        <f t="shared" si="1"/>
        <v>Arb.erl.kosten</v>
      </c>
      <c r="Z12" s="68" t="str">
        <f>V12</f>
        <v>Anzahl</v>
      </c>
      <c r="AA12" s="69" t="str">
        <f t="shared" ref="AA12:AC12" si="2">W12</f>
        <v>Arb.erl.kosten</v>
      </c>
      <c r="AB12" s="70" t="str">
        <f t="shared" si="2"/>
        <v>Anzahl</v>
      </c>
      <c r="AC12" s="69" t="str">
        <f t="shared" si="2"/>
        <v>Arb.erl.kosten</v>
      </c>
      <c r="AD12" s="68" t="str">
        <f>Z12</f>
        <v>Anzahl</v>
      </c>
      <c r="AE12" s="69" t="str">
        <f t="shared" ref="AE12:AG12" si="3">AA12</f>
        <v>Arb.erl.kosten</v>
      </c>
      <c r="AF12" s="70" t="str">
        <f t="shared" si="3"/>
        <v>Anzahl</v>
      </c>
      <c r="AG12" s="69" t="str">
        <f t="shared" si="3"/>
        <v>Arb.erl.kosten</v>
      </c>
      <c r="AH12" s="68" t="str">
        <f>AD12</f>
        <v>Anzahl</v>
      </c>
      <c r="AI12" s="69" t="str">
        <f t="shared" ref="AI12:AK12" si="4">AE12</f>
        <v>Arb.erl.kosten</v>
      </c>
      <c r="AJ12" s="70" t="str">
        <f t="shared" si="4"/>
        <v>Anzahl</v>
      </c>
      <c r="AK12" s="69" t="str">
        <f t="shared" si="4"/>
        <v>Arb.erl.kosten</v>
      </c>
      <c r="AL12" s="68" t="str">
        <f>AH12</f>
        <v>Anzahl</v>
      </c>
      <c r="AM12" s="69" t="str">
        <f t="shared" ref="AM12:AO12" si="5">AI12</f>
        <v>Arb.erl.kosten</v>
      </c>
      <c r="AN12" s="70" t="str">
        <f t="shared" si="5"/>
        <v>Anzahl</v>
      </c>
      <c r="AO12" s="69" t="str">
        <f t="shared" si="5"/>
        <v>Arb.erl.kosten</v>
      </c>
      <c r="AP12" s="68" t="str">
        <f>AL12</f>
        <v>Anzahl</v>
      </c>
      <c r="AQ12" s="69" t="str">
        <f t="shared" ref="AQ12:AS12" si="6">AM12</f>
        <v>Arb.erl.kosten</v>
      </c>
      <c r="AR12" s="70" t="str">
        <f t="shared" si="6"/>
        <v>Anzahl</v>
      </c>
      <c r="AS12" s="69" t="str">
        <f t="shared" si="6"/>
        <v>Arb.erl.kosten</v>
      </c>
      <c r="AT12" s="71" t="s">
        <v>55</v>
      </c>
      <c r="AU12" s="72" t="s">
        <v>55</v>
      </c>
      <c r="AV12" s="72" t="s">
        <v>55</v>
      </c>
      <c r="AW12" s="73"/>
      <c r="AX12" s="74"/>
      <c r="AY12" s="72" t="s">
        <v>55</v>
      </c>
      <c r="AZ12" s="75"/>
      <c r="BA12" s="66"/>
      <c r="BB12" s="66"/>
      <c r="BC12" s="380"/>
      <c r="BD12" s="380"/>
      <c r="BE12" s="383"/>
    </row>
    <row r="13" spans="2:57" ht="13.8" x14ac:dyDescent="0.3">
      <c r="B13" s="336" t="s">
        <v>56</v>
      </c>
      <c r="C13" s="310" t="s">
        <v>57</v>
      </c>
      <c r="D13" s="313" t="s">
        <v>58</v>
      </c>
      <c r="E13" s="77" t="s">
        <v>57</v>
      </c>
      <c r="F13" s="78"/>
      <c r="G13" s="79">
        <v>0</v>
      </c>
      <c r="H13" s="80">
        <v>0</v>
      </c>
      <c r="I13" s="81">
        <f t="shared" ref="I13:I22" si="7">IF(G13=0,0,G13*H13+$H$5+$H$6)</f>
        <v>0</v>
      </c>
      <c r="J13" s="82">
        <v>0.9</v>
      </c>
      <c r="K13" s="83">
        <f t="shared" ref="K13:K22" si="8">J13*(J$10*$C$6+L$10)</f>
        <v>108.873</v>
      </c>
      <c r="L13" s="84">
        <v>1</v>
      </c>
      <c r="M13" s="81">
        <f t="shared" ref="M13:M22" si="9">L13*(J$10*$C$6+L$10)</f>
        <v>120.97</v>
      </c>
      <c r="N13" s="82">
        <v>0.5</v>
      </c>
      <c r="O13" s="83">
        <f t="shared" ref="O13:O22" si="10">N13*(N$10*$C$6+P$10)</f>
        <v>23.075909090909089</v>
      </c>
      <c r="P13" s="84">
        <v>1.5</v>
      </c>
      <c r="Q13" s="81">
        <f t="shared" ref="Q13:Q22" si="11">P13*(N$10*$C$6+P$10)</f>
        <v>69.227727272727265</v>
      </c>
      <c r="R13" s="82">
        <v>1</v>
      </c>
      <c r="S13" s="81">
        <f t="shared" ref="S13:S22" si="12">R13*(R$10*$C$6+T$10)</f>
        <v>44.63739130434783</v>
      </c>
      <c r="T13" s="84">
        <v>1.5</v>
      </c>
      <c r="U13" s="81">
        <f t="shared" ref="U13:U22" si="13">T13*(R$10*$C$6+T$10)</f>
        <v>66.956086956521744</v>
      </c>
      <c r="V13" s="82"/>
      <c r="W13" s="81">
        <f t="shared" ref="W13:W22" si="14">V13*(V$10*$C$6+X$10)</f>
        <v>0</v>
      </c>
      <c r="X13" s="84"/>
      <c r="Y13" s="81">
        <f t="shared" ref="Y13:Y22" si="15">X13*(V$10*$C$6+X$10)</f>
        <v>0</v>
      </c>
      <c r="Z13" s="82">
        <v>1.3</v>
      </c>
      <c r="AA13" s="81">
        <f t="shared" ref="AA13:AA22" si="16">Z13*(Z$10*$C$6+AB$10)</f>
        <v>60.762619047619047</v>
      </c>
      <c r="AB13" s="84">
        <v>2</v>
      </c>
      <c r="AC13" s="81">
        <f t="shared" ref="AC13:AC22" si="17">AB13*(Z$10*$C$6+AB$10)</f>
        <v>93.480952380952374</v>
      </c>
      <c r="AD13" s="82"/>
      <c r="AE13" s="81">
        <f t="shared" ref="AE13:AE22" si="18">AD13*(AD$10*$C$6+AF$10)</f>
        <v>0</v>
      </c>
      <c r="AF13" s="84"/>
      <c r="AG13" s="81">
        <f t="shared" ref="AG13:AG22" si="19">AF13*(AD$10*$C$6+AF$10)</f>
        <v>0</v>
      </c>
      <c r="AH13" s="82"/>
      <c r="AI13" s="81">
        <f t="shared" ref="AI13:AI22" si="20">AH13*(AH$10*$C$6+AJ$10)</f>
        <v>0</v>
      </c>
      <c r="AJ13" s="84"/>
      <c r="AK13" s="81">
        <f t="shared" ref="AK13:AK22" si="21">AJ13*(AH$10*$C$6+AJ$10)</f>
        <v>0</v>
      </c>
      <c r="AL13" s="82"/>
      <c r="AM13" s="81">
        <f t="shared" ref="AM13:AM22" si="22">AL13*(AL$10*$C$6+AN$10)</f>
        <v>0</v>
      </c>
      <c r="AN13" s="84"/>
      <c r="AO13" s="81">
        <f t="shared" ref="AO13:AO22" si="23">AN13*(AL$10*$C$6+AN$10)</f>
        <v>0</v>
      </c>
      <c r="AP13" s="82"/>
      <c r="AQ13" s="81">
        <f t="shared" ref="AQ13:AQ22" si="24">AP13*(AP$10*$C$6+AR$10)</f>
        <v>0</v>
      </c>
      <c r="AR13" s="84"/>
      <c r="AS13" s="81">
        <f t="shared" ref="AS13:AS22" si="25">AR13*(AP$10*$C$6+AR$10)</f>
        <v>0</v>
      </c>
      <c r="AT13" s="85">
        <v>0</v>
      </c>
      <c r="AU13" s="86">
        <f>AT13*0.9</f>
        <v>0</v>
      </c>
      <c r="AV13" s="87">
        <v>0</v>
      </c>
      <c r="AW13" s="81">
        <f t="shared" ref="AW13:AW22" si="26">AV13*(AT13-AU13)</f>
        <v>0</v>
      </c>
      <c r="AX13" s="88">
        <v>0</v>
      </c>
      <c r="AY13" s="89">
        <f t="shared" ref="AY13:AY22" si="27">AV13-AX13</f>
        <v>0</v>
      </c>
      <c r="AZ13" s="81">
        <f>(AV13-AY13)*AU13</f>
        <v>0</v>
      </c>
      <c r="BA13" s="81">
        <f t="shared" ref="BA13:BA22" si="28">IF(SUM(AO13+AD13+Z13+V13+R13+N13+J13)=0,0,K13+O13+S13+W13+AA13+AE13+AH13+AL13+AP13+AX13)</f>
        <v>237.34891944287597</v>
      </c>
      <c r="BB13" s="81">
        <f t="shared" ref="BB13:BB22" si="29">IF(SUM(AR13+AF13+AB13+X13+T13+P13+L13)=0,0,I13+M13+Q13+U13+Y13+AC13+AG13+AK13+AO13+AS13+AW13+AZ13-$H$8)</f>
        <v>305.86939161020138</v>
      </c>
      <c r="BC13" s="90">
        <f t="shared" ref="BC13:BC22" si="30">IF(BB13-BA13&gt;0,BB13-BA13,0)</f>
        <v>68.520472167325408</v>
      </c>
      <c r="BD13" s="91">
        <v>0.7</v>
      </c>
      <c r="BE13" s="92">
        <f>0.333333*BD13*BF27</f>
        <v>3.4999964999999994E-2</v>
      </c>
    </row>
    <row r="14" spans="2:57" ht="13.8" x14ac:dyDescent="0.3">
      <c r="B14" s="337"/>
      <c r="C14" s="311"/>
      <c r="D14" s="314"/>
      <c r="E14" s="94" t="s">
        <v>59</v>
      </c>
      <c r="F14" s="95"/>
      <c r="G14" s="96">
        <v>0</v>
      </c>
      <c r="H14" s="97">
        <v>0</v>
      </c>
      <c r="I14" s="98">
        <f t="shared" si="7"/>
        <v>0</v>
      </c>
      <c r="J14" s="99"/>
      <c r="K14" s="100">
        <f t="shared" si="8"/>
        <v>0</v>
      </c>
      <c r="L14" s="101"/>
      <c r="M14" s="98">
        <f t="shared" si="9"/>
        <v>0</v>
      </c>
      <c r="N14" s="99">
        <v>1</v>
      </c>
      <c r="O14" s="100">
        <f t="shared" si="10"/>
        <v>46.151818181818179</v>
      </c>
      <c r="P14" s="101">
        <v>2.5</v>
      </c>
      <c r="Q14" s="98">
        <f t="shared" si="11"/>
        <v>115.37954545454545</v>
      </c>
      <c r="R14" s="99">
        <v>1</v>
      </c>
      <c r="S14" s="98">
        <f t="shared" si="12"/>
        <v>44.63739130434783</v>
      </c>
      <c r="T14" s="101">
        <v>1.5</v>
      </c>
      <c r="U14" s="98">
        <f t="shared" si="13"/>
        <v>66.956086956521744</v>
      </c>
      <c r="V14" s="99"/>
      <c r="W14" s="98">
        <f t="shared" si="14"/>
        <v>0</v>
      </c>
      <c r="X14" s="101"/>
      <c r="Y14" s="98">
        <f t="shared" si="15"/>
        <v>0</v>
      </c>
      <c r="Z14" s="99">
        <v>1.5</v>
      </c>
      <c r="AA14" s="98">
        <f t="shared" si="16"/>
        <v>70.11071428571428</v>
      </c>
      <c r="AB14" s="101">
        <v>2</v>
      </c>
      <c r="AC14" s="98">
        <f t="shared" si="17"/>
        <v>93.480952380952374</v>
      </c>
      <c r="AD14" s="99"/>
      <c r="AE14" s="98">
        <f t="shared" si="18"/>
        <v>0</v>
      </c>
      <c r="AF14" s="101"/>
      <c r="AG14" s="98">
        <f t="shared" si="19"/>
        <v>0</v>
      </c>
      <c r="AH14" s="99"/>
      <c r="AI14" s="98">
        <f t="shared" si="20"/>
        <v>0</v>
      </c>
      <c r="AJ14" s="101"/>
      <c r="AK14" s="98">
        <f t="shared" si="21"/>
        <v>0</v>
      </c>
      <c r="AL14" s="99"/>
      <c r="AM14" s="98">
        <f t="shared" si="22"/>
        <v>0</v>
      </c>
      <c r="AN14" s="101"/>
      <c r="AO14" s="98">
        <f t="shared" si="23"/>
        <v>0</v>
      </c>
      <c r="AP14" s="99"/>
      <c r="AQ14" s="98">
        <f t="shared" si="24"/>
        <v>0</v>
      </c>
      <c r="AR14" s="101"/>
      <c r="AS14" s="98">
        <f t="shared" si="25"/>
        <v>0</v>
      </c>
      <c r="AT14" s="102">
        <f>AT13</f>
        <v>0</v>
      </c>
      <c r="AU14" s="103">
        <f t="shared" ref="AU14:AU22" si="31">AT14*0.9</f>
        <v>0</v>
      </c>
      <c r="AV14" s="104">
        <f>AV13</f>
        <v>0</v>
      </c>
      <c r="AW14" s="98">
        <f t="shared" si="26"/>
        <v>0</v>
      </c>
      <c r="AX14" s="105">
        <f>AX13</f>
        <v>0</v>
      </c>
      <c r="AY14" s="106">
        <f t="shared" si="27"/>
        <v>0</v>
      </c>
      <c r="AZ14" s="98">
        <f t="shared" ref="AZ14:AZ22" si="32">(AV14-AY14)*AU14</f>
        <v>0</v>
      </c>
      <c r="BA14" s="98">
        <f t="shared" si="28"/>
        <v>160.89992377188031</v>
      </c>
      <c r="BB14" s="98">
        <f t="shared" si="29"/>
        <v>231.05120979201956</v>
      </c>
      <c r="BC14" s="107">
        <f t="shared" si="30"/>
        <v>70.151286020139253</v>
      </c>
      <c r="BD14" s="108">
        <f>1-BD13</f>
        <v>0.30000000000000004</v>
      </c>
      <c r="BE14" s="109">
        <f>0.333333*BD14*BF27</f>
        <v>1.4999985000000002E-2</v>
      </c>
    </row>
    <row r="15" spans="2:57" ht="13.8" x14ac:dyDescent="0.3">
      <c r="B15" s="337"/>
      <c r="C15" s="311"/>
      <c r="D15" s="298" t="s">
        <v>60</v>
      </c>
      <c r="E15" s="110" t="s">
        <v>57</v>
      </c>
      <c r="F15" s="111"/>
      <c r="G15" s="112">
        <v>0</v>
      </c>
      <c r="H15" s="113">
        <v>0</v>
      </c>
      <c r="I15" s="114">
        <f t="shared" si="7"/>
        <v>0</v>
      </c>
      <c r="J15" s="115">
        <v>0.9</v>
      </c>
      <c r="K15" s="116">
        <f t="shared" si="8"/>
        <v>108.873</v>
      </c>
      <c r="L15" s="117">
        <v>1</v>
      </c>
      <c r="M15" s="118">
        <f t="shared" si="9"/>
        <v>120.97</v>
      </c>
      <c r="N15" s="115">
        <v>0.5</v>
      </c>
      <c r="O15" s="116">
        <f t="shared" si="10"/>
        <v>23.075909090909089</v>
      </c>
      <c r="P15" s="117">
        <v>2</v>
      </c>
      <c r="Q15" s="118">
        <f t="shared" si="11"/>
        <v>92.303636363636357</v>
      </c>
      <c r="R15" s="115">
        <v>1</v>
      </c>
      <c r="S15" s="118">
        <f t="shared" si="12"/>
        <v>44.63739130434783</v>
      </c>
      <c r="T15" s="117">
        <v>1.5</v>
      </c>
      <c r="U15" s="118">
        <f t="shared" si="13"/>
        <v>66.956086956521744</v>
      </c>
      <c r="V15" s="115"/>
      <c r="W15" s="118">
        <f t="shared" si="14"/>
        <v>0</v>
      </c>
      <c r="X15" s="117"/>
      <c r="Y15" s="118">
        <f t="shared" si="15"/>
        <v>0</v>
      </c>
      <c r="Z15" s="115">
        <v>0.3</v>
      </c>
      <c r="AA15" s="118">
        <f t="shared" si="16"/>
        <v>14.022142857142855</v>
      </c>
      <c r="AB15" s="117">
        <f>1</f>
        <v>1</v>
      </c>
      <c r="AC15" s="118">
        <f t="shared" si="17"/>
        <v>46.740476190476187</v>
      </c>
      <c r="AD15" s="115"/>
      <c r="AE15" s="118">
        <f t="shared" si="18"/>
        <v>0</v>
      </c>
      <c r="AF15" s="117"/>
      <c r="AG15" s="118">
        <f t="shared" si="19"/>
        <v>0</v>
      </c>
      <c r="AH15" s="115"/>
      <c r="AI15" s="118">
        <f t="shared" si="20"/>
        <v>0</v>
      </c>
      <c r="AJ15" s="117"/>
      <c r="AK15" s="118">
        <f t="shared" si="21"/>
        <v>0</v>
      </c>
      <c r="AL15" s="115"/>
      <c r="AM15" s="118">
        <f t="shared" si="22"/>
        <v>0</v>
      </c>
      <c r="AN15" s="117"/>
      <c r="AO15" s="118">
        <f t="shared" si="23"/>
        <v>0</v>
      </c>
      <c r="AP15" s="115"/>
      <c r="AQ15" s="118">
        <f t="shared" si="24"/>
        <v>0</v>
      </c>
      <c r="AR15" s="117"/>
      <c r="AS15" s="118">
        <f t="shared" si="25"/>
        <v>0</v>
      </c>
      <c r="AT15" s="119">
        <v>0</v>
      </c>
      <c r="AU15" s="120">
        <f t="shared" si="31"/>
        <v>0</v>
      </c>
      <c r="AV15" s="121">
        <f>AV13</f>
        <v>0</v>
      </c>
      <c r="AW15" s="118">
        <f t="shared" si="26"/>
        <v>0</v>
      </c>
      <c r="AX15" s="122">
        <v>0</v>
      </c>
      <c r="AY15" s="123">
        <f t="shared" si="27"/>
        <v>0</v>
      </c>
      <c r="AZ15" s="118">
        <f t="shared" si="32"/>
        <v>0</v>
      </c>
      <c r="BA15" s="118">
        <f t="shared" si="28"/>
        <v>190.60844325239978</v>
      </c>
      <c r="BB15" s="118">
        <f t="shared" si="29"/>
        <v>282.2048245106343</v>
      </c>
      <c r="BC15" s="114">
        <f t="shared" si="30"/>
        <v>91.596381258234516</v>
      </c>
      <c r="BD15" s="124">
        <v>0.6</v>
      </c>
      <c r="BE15" s="125">
        <f>0.8*BD15*BF29</f>
        <v>2.4E-2</v>
      </c>
    </row>
    <row r="16" spans="2:57" ht="13.8" x14ac:dyDescent="0.3">
      <c r="B16" s="337"/>
      <c r="C16" s="311"/>
      <c r="D16" s="297"/>
      <c r="E16" s="94" t="s">
        <v>59</v>
      </c>
      <c r="F16" s="95"/>
      <c r="G16" s="96">
        <v>0</v>
      </c>
      <c r="H16" s="97">
        <v>0</v>
      </c>
      <c r="I16" s="107">
        <f t="shared" si="7"/>
        <v>0</v>
      </c>
      <c r="J16" s="99"/>
      <c r="K16" s="100">
        <f t="shared" si="8"/>
        <v>0</v>
      </c>
      <c r="L16" s="101"/>
      <c r="M16" s="98">
        <f t="shared" si="9"/>
        <v>0</v>
      </c>
      <c r="N16" s="99">
        <v>1</v>
      </c>
      <c r="O16" s="100">
        <f t="shared" si="10"/>
        <v>46.151818181818179</v>
      </c>
      <c r="P16" s="101">
        <v>2.5</v>
      </c>
      <c r="Q16" s="98">
        <f t="shared" si="11"/>
        <v>115.37954545454545</v>
      </c>
      <c r="R16" s="99">
        <v>1</v>
      </c>
      <c r="S16" s="98">
        <f t="shared" si="12"/>
        <v>44.63739130434783</v>
      </c>
      <c r="T16" s="101">
        <v>1.5</v>
      </c>
      <c r="U16" s="98">
        <f t="shared" si="13"/>
        <v>66.956086956521744</v>
      </c>
      <c r="V16" s="99"/>
      <c r="W16" s="98">
        <f t="shared" si="14"/>
        <v>0</v>
      </c>
      <c r="X16" s="101"/>
      <c r="Y16" s="98">
        <f t="shared" si="15"/>
        <v>0</v>
      </c>
      <c r="Z16" s="99">
        <v>0.5</v>
      </c>
      <c r="AA16" s="98">
        <f t="shared" si="16"/>
        <v>23.370238095238093</v>
      </c>
      <c r="AB16" s="101">
        <v>1</v>
      </c>
      <c r="AC16" s="98">
        <f t="shared" si="17"/>
        <v>46.740476190476187</v>
      </c>
      <c r="AD16" s="99"/>
      <c r="AE16" s="98">
        <f t="shared" si="18"/>
        <v>0</v>
      </c>
      <c r="AF16" s="101"/>
      <c r="AG16" s="98">
        <f t="shared" si="19"/>
        <v>0</v>
      </c>
      <c r="AH16" s="99"/>
      <c r="AI16" s="98">
        <f t="shared" si="20"/>
        <v>0</v>
      </c>
      <c r="AJ16" s="101"/>
      <c r="AK16" s="98">
        <f t="shared" si="21"/>
        <v>0</v>
      </c>
      <c r="AL16" s="99"/>
      <c r="AM16" s="98">
        <f t="shared" si="22"/>
        <v>0</v>
      </c>
      <c r="AN16" s="101"/>
      <c r="AO16" s="98">
        <f t="shared" si="23"/>
        <v>0</v>
      </c>
      <c r="AP16" s="99"/>
      <c r="AQ16" s="98">
        <f t="shared" si="24"/>
        <v>0</v>
      </c>
      <c r="AR16" s="101"/>
      <c r="AS16" s="98">
        <f t="shared" si="25"/>
        <v>0</v>
      </c>
      <c r="AT16" s="102">
        <f>AT15</f>
        <v>0</v>
      </c>
      <c r="AU16" s="103">
        <f t="shared" si="31"/>
        <v>0</v>
      </c>
      <c r="AV16" s="104">
        <f>AV15</f>
        <v>0</v>
      </c>
      <c r="AW16" s="98">
        <f t="shared" si="26"/>
        <v>0</v>
      </c>
      <c r="AX16" s="105">
        <f>AX15</f>
        <v>0</v>
      </c>
      <c r="AY16" s="106">
        <f t="shared" si="27"/>
        <v>0</v>
      </c>
      <c r="AZ16" s="98">
        <f t="shared" si="32"/>
        <v>0</v>
      </c>
      <c r="BA16" s="98">
        <f t="shared" si="28"/>
        <v>114.15944758140411</v>
      </c>
      <c r="BB16" s="98">
        <f t="shared" si="29"/>
        <v>184.31073360154338</v>
      </c>
      <c r="BC16" s="107">
        <f t="shared" si="30"/>
        <v>70.151286020139267</v>
      </c>
      <c r="BD16" s="108">
        <f>1-BD15</f>
        <v>0.4</v>
      </c>
      <c r="BE16" s="109">
        <f>0.8*BD16*BF29</f>
        <v>1.6000000000000004E-2</v>
      </c>
    </row>
    <row r="17" spans="2:58" ht="13.8" x14ac:dyDescent="0.3">
      <c r="B17" s="337"/>
      <c r="C17" s="311"/>
      <c r="D17" s="298" t="s">
        <v>61</v>
      </c>
      <c r="E17" s="110" t="s">
        <v>57</v>
      </c>
      <c r="F17" s="111"/>
      <c r="G17" s="112">
        <v>0</v>
      </c>
      <c r="H17" s="113">
        <v>0</v>
      </c>
      <c r="I17" s="114">
        <f t="shared" si="7"/>
        <v>0</v>
      </c>
      <c r="J17" s="115">
        <v>0.9</v>
      </c>
      <c r="K17" s="116">
        <f t="shared" si="8"/>
        <v>108.873</v>
      </c>
      <c r="L17" s="117">
        <v>1</v>
      </c>
      <c r="M17" s="118">
        <f t="shared" si="9"/>
        <v>120.97</v>
      </c>
      <c r="N17" s="115">
        <v>0.5</v>
      </c>
      <c r="O17" s="116">
        <f t="shared" si="10"/>
        <v>23.075909090909089</v>
      </c>
      <c r="P17" s="117">
        <v>2</v>
      </c>
      <c r="Q17" s="118">
        <f t="shared" si="11"/>
        <v>92.303636363636357</v>
      </c>
      <c r="R17" s="115">
        <v>1</v>
      </c>
      <c r="S17" s="118">
        <f t="shared" si="12"/>
        <v>44.63739130434783</v>
      </c>
      <c r="T17" s="117">
        <v>1.5</v>
      </c>
      <c r="U17" s="118">
        <f t="shared" si="13"/>
        <v>66.956086956521744</v>
      </c>
      <c r="V17" s="115"/>
      <c r="W17" s="118">
        <f t="shared" si="14"/>
        <v>0</v>
      </c>
      <c r="X17" s="117"/>
      <c r="Y17" s="118">
        <f t="shared" si="15"/>
        <v>0</v>
      </c>
      <c r="Z17" s="115">
        <v>0.3</v>
      </c>
      <c r="AA17" s="118">
        <f t="shared" si="16"/>
        <v>14.022142857142855</v>
      </c>
      <c r="AB17" s="117">
        <f>1</f>
        <v>1</v>
      </c>
      <c r="AC17" s="118">
        <f t="shared" si="17"/>
        <v>46.740476190476187</v>
      </c>
      <c r="AD17" s="115"/>
      <c r="AE17" s="118">
        <f t="shared" si="18"/>
        <v>0</v>
      </c>
      <c r="AF17" s="117"/>
      <c r="AG17" s="118">
        <f t="shared" si="19"/>
        <v>0</v>
      </c>
      <c r="AH17" s="115"/>
      <c r="AI17" s="118">
        <f t="shared" si="20"/>
        <v>0</v>
      </c>
      <c r="AJ17" s="117"/>
      <c r="AK17" s="118">
        <f t="shared" si="21"/>
        <v>0</v>
      </c>
      <c r="AL17" s="115"/>
      <c r="AM17" s="118">
        <f t="shared" si="22"/>
        <v>0</v>
      </c>
      <c r="AN17" s="117"/>
      <c r="AO17" s="118">
        <f t="shared" si="23"/>
        <v>0</v>
      </c>
      <c r="AP17" s="115"/>
      <c r="AQ17" s="118">
        <f t="shared" si="24"/>
        <v>0</v>
      </c>
      <c r="AR17" s="117"/>
      <c r="AS17" s="118">
        <f t="shared" si="25"/>
        <v>0</v>
      </c>
      <c r="AT17" s="119">
        <v>0</v>
      </c>
      <c r="AU17" s="120">
        <f t="shared" si="31"/>
        <v>0</v>
      </c>
      <c r="AV17" s="121">
        <f>AV15</f>
        <v>0</v>
      </c>
      <c r="AW17" s="118">
        <f t="shared" si="26"/>
        <v>0</v>
      </c>
      <c r="AX17" s="122">
        <v>0</v>
      </c>
      <c r="AY17" s="123">
        <f t="shared" si="27"/>
        <v>0</v>
      </c>
      <c r="AZ17" s="118">
        <f t="shared" si="32"/>
        <v>0</v>
      </c>
      <c r="BA17" s="118">
        <f t="shared" si="28"/>
        <v>190.60844325239978</v>
      </c>
      <c r="BB17" s="118">
        <f t="shared" si="29"/>
        <v>282.2048245106343</v>
      </c>
      <c r="BC17" s="114">
        <f t="shared" si="30"/>
        <v>91.596381258234516</v>
      </c>
      <c r="BD17" s="124">
        <v>0.6</v>
      </c>
      <c r="BE17" s="125">
        <f>0.85*BD17*BF31</f>
        <v>0.33150000000000002</v>
      </c>
    </row>
    <row r="18" spans="2:58" ht="13.8" x14ac:dyDescent="0.3">
      <c r="B18" s="337"/>
      <c r="C18" s="311"/>
      <c r="D18" s="316"/>
      <c r="E18" s="94" t="s">
        <v>59</v>
      </c>
      <c r="F18" s="95"/>
      <c r="G18" s="96">
        <v>0</v>
      </c>
      <c r="H18" s="97">
        <v>0</v>
      </c>
      <c r="I18" s="107">
        <f t="shared" si="7"/>
        <v>0</v>
      </c>
      <c r="J18" s="99"/>
      <c r="K18" s="100">
        <f t="shared" si="8"/>
        <v>0</v>
      </c>
      <c r="L18" s="101"/>
      <c r="M18" s="98">
        <f t="shared" si="9"/>
        <v>0</v>
      </c>
      <c r="N18" s="99">
        <v>1</v>
      </c>
      <c r="O18" s="100">
        <f t="shared" si="10"/>
        <v>46.151818181818179</v>
      </c>
      <c r="P18" s="101">
        <v>2.5</v>
      </c>
      <c r="Q18" s="98">
        <f t="shared" si="11"/>
        <v>115.37954545454545</v>
      </c>
      <c r="R18" s="99">
        <v>1</v>
      </c>
      <c r="S18" s="98">
        <f t="shared" si="12"/>
        <v>44.63739130434783</v>
      </c>
      <c r="T18" s="101">
        <v>1.5</v>
      </c>
      <c r="U18" s="98">
        <f t="shared" si="13"/>
        <v>66.956086956521744</v>
      </c>
      <c r="V18" s="99"/>
      <c r="W18" s="98">
        <f t="shared" si="14"/>
        <v>0</v>
      </c>
      <c r="X18" s="101"/>
      <c r="Y18" s="98">
        <f t="shared" si="15"/>
        <v>0</v>
      </c>
      <c r="Z18" s="99">
        <v>0.5</v>
      </c>
      <c r="AA18" s="98">
        <f t="shared" si="16"/>
        <v>23.370238095238093</v>
      </c>
      <c r="AB18" s="101">
        <v>1</v>
      </c>
      <c r="AC18" s="98">
        <f t="shared" si="17"/>
        <v>46.740476190476187</v>
      </c>
      <c r="AD18" s="99"/>
      <c r="AE18" s="98">
        <f t="shared" si="18"/>
        <v>0</v>
      </c>
      <c r="AF18" s="101"/>
      <c r="AG18" s="98">
        <f t="shared" si="19"/>
        <v>0</v>
      </c>
      <c r="AH18" s="99"/>
      <c r="AI18" s="98">
        <f t="shared" si="20"/>
        <v>0</v>
      </c>
      <c r="AJ18" s="101"/>
      <c r="AK18" s="98">
        <f t="shared" si="21"/>
        <v>0</v>
      </c>
      <c r="AL18" s="99"/>
      <c r="AM18" s="98">
        <f t="shared" si="22"/>
        <v>0</v>
      </c>
      <c r="AN18" s="101"/>
      <c r="AO18" s="98">
        <f t="shared" si="23"/>
        <v>0</v>
      </c>
      <c r="AP18" s="99"/>
      <c r="AQ18" s="98">
        <f t="shared" si="24"/>
        <v>0</v>
      </c>
      <c r="AR18" s="101"/>
      <c r="AS18" s="98">
        <f t="shared" si="25"/>
        <v>0</v>
      </c>
      <c r="AT18" s="102">
        <f>AT17</f>
        <v>0</v>
      </c>
      <c r="AU18" s="103">
        <f t="shared" si="31"/>
        <v>0</v>
      </c>
      <c r="AV18" s="104">
        <f>AV17</f>
        <v>0</v>
      </c>
      <c r="AW18" s="98">
        <f t="shared" si="26"/>
        <v>0</v>
      </c>
      <c r="AX18" s="105">
        <f>AX17</f>
        <v>0</v>
      </c>
      <c r="AY18" s="106">
        <f t="shared" si="27"/>
        <v>0</v>
      </c>
      <c r="AZ18" s="98">
        <f t="shared" si="32"/>
        <v>0</v>
      </c>
      <c r="BA18" s="98">
        <f t="shared" si="28"/>
        <v>114.15944758140411</v>
      </c>
      <c r="BB18" s="98">
        <f t="shared" si="29"/>
        <v>184.31073360154338</v>
      </c>
      <c r="BC18" s="107">
        <f t="shared" si="30"/>
        <v>70.151286020139267</v>
      </c>
      <c r="BD18" s="108">
        <f>1-BD17</f>
        <v>0.4</v>
      </c>
      <c r="BE18" s="109">
        <f>0.85*BD18*BF31</f>
        <v>0.22100000000000003</v>
      </c>
    </row>
    <row r="19" spans="2:58" ht="13.8" x14ac:dyDescent="0.3">
      <c r="B19" s="337"/>
      <c r="C19" s="311"/>
      <c r="D19" s="341" t="s">
        <v>62</v>
      </c>
      <c r="E19" s="110" t="s">
        <v>57</v>
      </c>
      <c r="F19" s="111"/>
      <c r="G19" s="112">
        <v>0</v>
      </c>
      <c r="H19" s="113">
        <v>0</v>
      </c>
      <c r="I19" s="114">
        <f t="shared" si="7"/>
        <v>0</v>
      </c>
      <c r="J19" s="115">
        <v>0.7</v>
      </c>
      <c r="K19" s="116">
        <f t="shared" si="8"/>
        <v>84.678999999999988</v>
      </c>
      <c r="L19" s="117">
        <v>0.9</v>
      </c>
      <c r="M19" s="118">
        <f t="shared" si="9"/>
        <v>108.873</v>
      </c>
      <c r="N19" s="115">
        <v>0.5</v>
      </c>
      <c r="O19" s="116">
        <f t="shared" si="10"/>
        <v>23.075909090909089</v>
      </c>
      <c r="P19" s="117">
        <v>2</v>
      </c>
      <c r="Q19" s="118">
        <f t="shared" si="11"/>
        <v>92.303636363636357</v>
      </c>
      <c r="R19" s="115">
        <v>1</v>
      </c>
      <c r="S19" s="118">
        <f t="shared" si="12"/>
        <v>44.63739130434783</v>
      </c>
      <c r="T19" s="117">
        <v>1.5</v>
      </c>
      <c r="U19" s="118">
        <f t="shared" si="13"/>
        <v>66.956086956521744</v>
      </c>
      <c r="V19" s="115"/>
      <c r="W19" s="118">
        <f t="shared" si="14"/>
        <v>0</v>
      </c>
      <c r="X19" s="117">
        <v>1</v>
      </c>
      <c r="Y19" s="118">
        <f t="shared" si="15"/>
        <v>16.785354141656661</v>
      </c>
      <c r="Z19" s="115">
        <v>0.3</v>
      </c>
      <c r="AA19" s="118">
        <f t="shared" si="16"/>
        <v>14.022142857142855</v>
      </c>
      <c r="AB19" s="117">
        <v>1</v>
      </c>
      <c r="AC19" s="118">
        <f t="shared" si="17"/>
        <v>46.740476190476187</v>
      </c>
      <c r="AD19" s="115"/>
      <c r="AE19" s="118">
        <f t="shared" si="18"/>
        <v>0</v>
      </c>
      <c r="AF19" s="117"/>
      <c r="AG19" s="118">
        <f t="shared" si="19"/>
        <v>0</v>
      </c>
      <c r="AH19" s="115"/>
      <c r="AI19" s="118">
        <f t="shared" si="20"/>
        <v>0</v>
      </c>
      <c r="AJ19" s="117"/>
      <c r="AK19" s="118">
        <f t="shared" si="21"/>
        <v>0</v>
      </c>
      <c r="AL19" s="115"/>
      <c r="AM19" s="118">
        <f t="shared" si="22"/>
        <v>0</v>
      </c>
      <c r="AN19" s="117"/>
      <c r="AO19" s="118">
        <f t="shared" si="23"/>
        <v>0</v>
      </c>
      <c r="AP19" s="115"/>
      <c r="AQ19" s="118">
        <f t="shared" si="24"/>
        <v>0</v>
      </c>
      <c r="AR19" s="117"/>
      <c r="AS19" s="118">
        <f t="shared" si="25"/>
        <v>0</v>
      </c>
      <c r="AT19" s="119">
        <v>0</v>
      </c>
      <c r="AU19" s="120">
        <f t="shared" si="31"/>
        <v>0</v>
      </c>
      <c r="AV19" s="121">
        <f>AV17</f>
        <v>0</v>
      </c>
      <c r="AW19" s="118">
        <f t="shared" si="26"/>
        <v>0</v>
      </c>
      <c r="AX19" s="122">
        <v>0</v>
      </c>
      <c r="AY19" s="123">
        <f t="shared" si="27"/>
        <v>0</v>
      </c>
      <c r="AZ19" s="118">
        <f t="shared" si="32"/>
        <v>0</v>
      </c>
      <c r="BA19" s="118">
        <f t="shared" si="28"/>
        <v>166.41444325239976</v>
      </c>
      <c r="BB19" s="118">
        <f t="shared" si="29"/>
        <v>286.89317865229094</v>
      </c>
      <c r="BC19" s="114">
        <f t="shared" si="30"/>
        <v>120.47873539989118</v>
      </c>
      <c r="BD19" s="124">
        <v>0.6</v>
      </c>
      <c r="BE19" s="125">
        <f>0.4*BD19*BF33</f>
        <v>0</v>
      </c>
    </row>
    <row r="20" spans="2:58" ht="13.8" x14ac:dyDescent="0.3">
      <c r="B20" s="337"/>
      <c r="C20" s="311"/>
      <c r="D20" s="342"/>
      <c r="E20" s="94" t="s">
        <v>59</v>
      </c>
      <c r="F20" s="95"/>
      <c r="G20" s="96">
        <v>0</v>
      </c>
      <c r="H20" s="97">
        <v>0</v>
      </c>
      <c r="I20" s="107">
        <f t="shared" si="7"/>
        <v>0</v>
      </c>
      <c r="J20" s="99"/>
      <c r="K20" s="100">
        <f t="shared" si="8"/>
        <v>0</v>
      </c>
      <c r="L20" s="101"/>
      <c r="M20" s="98">
        <f t="shared" si="9"/>
        <v>0</v>
      </c>
      <c r="N20" s="99">
        <v>1</v>
      </c>
      <c r="O20" s="100">
        <f t="shared" si="10"/>
        <v>46.151818181818179</v>
      </c>
      <c r="P20" s="101">
        <v>2.5</v>
      </c>
      <c r="Q20" s="98">
        <f t="shared" si="11"/>
        <v>115.37954545454545</v>
      </c>
      <c r="R20" s="99">
        <v>1</v>
      </c>
      <c r="S20" s="98">
        <f t="shared" si="12"/>
        <v>44.63739130434783</v>
      </c>
      <c r="T20" s="101">
        <v>1.5</v>
      </c>
      <c r="U20" s="98">
        <f t="shared" si="13"/>
        <v>66.956086956521744</v>
      </c>
      <c r="V20" s="99"/>
      <c r="W20" s="98">
        <f t="shared" si="14"/>
        <v>0</v>
      </c>
      <c r="X20" s="101">
        <v>1</v>
      </c>
      <c r="Y20" s="98">
        <f t="shared" si="15"/>
        <v>16.785354141656661</v>
      </c>
      <c r="Z20" s="99">
        <v>0.5</v>
      </c>
      <c r="AA20" s="98">
        <f t="shared" si="16"/>
        <v>23.370238095238093</v>
      </c>
      <c r="AB20" s="101">
        <v>1</v>
      </c>
      <c r="AC20" s="98">
        <f t="shared" si="17"/>
        <v>46.740476190476187</v>
      </c>
      <c r="AD20" s="99"/>
      <c r="AE20" s="98">
        <f t="shared" si="18"/>
        <v>0</v>
      </c>
      <c r="AF20" s="101"/>
      <c r="AG20" s="98">
        <f t="shared" si="19"/>
        <v>0</v>
      </c>
      <c r="AH20" s="99"/>
      <c r="AI20" s="98">
        <f t="shared" si="20"/>
        <v>0</v>
      </c>
      <c r="AJ20" s="101"/>
      <c r="AK20" s="98">
        <f t="shared" si="21"/>
        <v>0</v>
      </c>
      <c r="AL20" s="99"/>
      <c r="AM20" s="98">
        <f t="shared" si="22"/>
        <v>0</v>
      </c>
      <c r="AN20" s="101"/>
      <c r="AO20" s="98">
        <f t="shared" si="23"/>
        <v>0</v>
      </c>
      <c r="AP20" s="99"/>
      <c r="AQ20" s="98">
        <f t="shared" si="24"/>
        <v>0</v>
      </c>
      <c r="AR20" s="101"/>
      <c r="AS20" s="98">
        <f t="shared" si="25"/>
        <v>0</v>
      </c>
      <c r="AT20" s="102">
        <f>AT19</f>
        <v>0</v>
      </c>
      <c r="AU20" s="103">
        <f t="shared" si="31"/>
        <v>0</v>
      </c>
      <c r="AV20" s="104">
        <f>AV19</f>
        <v>0</v>
      </c>
      <c r="AW20" s="98">
        <f t="shared" si="26"/>
        <v>0</v>
      </c>
      <c r="AX20" s="105">
        <f>AX19</f>
        <v>0</v>
      </c>
      <c r="AY20" s="106">
        <f t="shared" si="27"/>
        <v>0</v>
      </c>
      <c r="AZ20" s="98">
        <f t="shared" si="32"/>
        <v>0</v>
      </c>
      <c r="BA20" s="98">
        <f t="shared" si="28"/>
        <v>114.15944758140411</v>
      </c>
      <c r="BB20" s="98">
        <f t="shared" si="29"/>
        <v>201.09608774320003</v>
      </c>
      <c r="BC20" s="107">
        <f t="shared" si="30"/>
        <v>86.936640161795921</v>
      </c>
      <c r="BD20" s="108">
        <f>1-BD19</f>
        <v>0.4</v>
      </c>
      <c r="BE20" s="109">
        <f>0.4*BD20*BF33</f>
        <v>0</v>
      </c>
    </row>
    <row r="21" spans="2:58" ht="13.8" x14ac:dyDescent="0.3">
      <c r="B21" s="337"/>
      <c r="C21" s="311"/>
      <c r="D21" s="341" t="s">
        <v>63</v>
      </c>
      <c r="E21" s="110" t="s">
        <v>57</v>
      </c>
      <c r="F21" s="111"/>
      <c r="G21" s="112">
        <v>0</v>
      </c>
      <c r="H21" s="113">
        <v>0</v>
      </c>
      <c r="I21" s="114">
        <f t="shared" si="7"/>
        <v>0</v>
      </c>
      <c r="J21" s="115">
        <v>0.7</v>
      </c>
      <c r="K21" s="116">
        <f t="shared" si="8"/>
        <v>84.678999999999988</v>
      </c>
      <c r="L21" s="117">
        <v>0.8</v>
      </c>
      <c r="M21" s="118">
        <f t="shared" si="9"/>
        <v>96.77600000000001</v>
      </c>
      <c r="N21" s="115">
        <v>0.5</v>
      </c>
      <c r="O21" s="116">
        <f t="shared" si="10"/>
        <v>23.075909090909089</v>
      </c>
      <c r="P21" s="117">
        <v>1.5</v>
      </c>
      <c r="Q21" s="118">
        <f t="shared" si="11"/>
        <v>69.227727272727265</v>
      </c>
      <c r="R21" s="115">
        <v>1</v>
      </c>
      <c r="S21" s="118">
        <f t="shared" si="12"/>
        <v>44.63739130434783</v>
      </c>
      <c r="T21" s="117">
        <v>1.5</v>
      </c>
      <c r="U21" s="118">
        <f t="shared" si="13"/>
        <v>66.956086956521744</v>
      </c>
      <c r="V21" s="115"/>
      <c r="W21" s="118">
        <f t="shared" si="14"/>
        <v>0</v>
      </c>
      <c r="X21" s="117"/>
      <c r="Y21" s="118">
        <f t="shared" si="15"/>
        <v>0</v>
      </c>
      <c r="Z21" s="115">
        <v>0.3</v>
      </c>
      <c r="AA21" s="118">
        <f t="shared" si="16"/>
        <v>14.022142857142855</v>
      </c>
      <c r="AB21" s="117">
        <f>1</f>
        <v>1</v>
      </c>
      <c r="AC21" s="118">
        <f t="shared" si="17"/>
        <v>46.740476190476187</v>
      </c>
      <c r="AD21" s="115"/>
      <c r="AE21" s="118">
        <f t="shared" si="18"/>
        <v>0</v>
      </c>
      <c r="AF21" s="117"/>
      <c r="AG21" s="118">
        <f t="shared" si="19"/>
        <v>0</v>
      </c>
      <c r="AH21" s="115"/>
      <c r="AI21" s="118">
        <f t="shared" si="20"/>
        <v>0</v>
      </c>
      <c r="AJ21" s="117"/>
      <c r="AK21" s="118">
        <f t="shared" si="21"/>
        <v>0</v>
      </c>
      <c r="AL21" s="115"/>
      <c r="AM21" s="118">
        <f t="shared" si="22"/>
        <v>0</v>
      </c>
      <c r="AN21" s="117"/>
      <c r="AO21" s="118">
        <f t="shared" si="23"/>
        <v>0</v>
      </c>
      <c r="AP21" s="115"/>
      <c r="AQ21" s="118">
        <f t="shared" si="24"/>
        <v>0</v>
      </c>
      <c r="AR21" s="117"/>
      <c r="AS21" s="118">
        <f t="shared" si="25"/>
        <v>0</v>
      </c>
      <c r="AT21" s="119">
        <v>0</v>
      </c>
      <c r="AU21" s="120">
        <f t="shared" si="31"/>
        <v>0</v>
      </c>
      <c r="AV21" s="121">
        <f>AV19</f>
        <v>0</v>
      </c>
      <c r="AW21" s="118">
        <f t="shared" si="26"/>
        <v>0</v>
      </c>
      <c r="AX21" s="122">
        <v>0</v>
      </c>
      <c r="AY21" s="123">
        <f t="shared" si="27"/>
        <v>0</v>
      </c>
      <c r="AZ21" s="118">
        <f t="shared" si="32"/>
        <v>0</v>
      </c>
      <c r="BA21" s="118">
        <f t="shared" si="28"/>
        <v>166.41444325239976</v>
      </c>
      <c r="BB21" s="118">
        <f t="shared" si="29"/>
        <v>234.9349154197252</v>
      </c>
      <c r="BC21" s="114">
        <f t="shared" si="30"/>
        <v>68.520472167325437</v>
      </c>
      <c r="BD21" s="124">
        <v>0.4</v>
      </c>
      <c r="BE21" s="125">
        <f>0.33333*BD21*BF35</f>
        <v>1.9999800000000002E-2</v>
      </c>
    </row>
    <row r="22" spans="2:58" ht="14.4" thickBot="1" x14ac:dyDescent="0.35">
      <c r="B22" s="337"/>
      <c r="C22" s="311"/>
      <c r="D22" s="340"/>
      <c r="E22" s="126" t="s">
        <v>59</v>
      </c>
      <c r="F22" s="127"/>
      <c r="G22" s="128">
        <v>0</v>
      </c>
      <c r="H22" s="129">
        <v>0</v>
      </c>
      <c r="I22" s="130">
        <f t="shared" si="7"/>
        <v>0</v>
      </c>
      <c r="J22" s="131"/>
      <c r="K22" s="132">
        <f t="shared" si="8"/>
        <v>0</v>
      </c>
      <c r="L22" s="133"/>
      <c r="M22" s="134">
        <f t="shared" si="9"/>
        <v>0</v>
      </c>
      <c r="N22" s="131">
        <v>1</v>
      </c>
      <c r="O22" s="132">
        <f t="shared" si="10"/>
        <v>46.151818181818179</v>
      </c>
      <c r="P22" s="133">
        <v>2</v>
      </c>
      <c r="Q22" s="134">
        <f t="shared" si="11"/>
        <v>92.303636363636357</v>
      </c>
      <c r="R22" s="131">
        <v>1</v>
      </c>
      <c r="S22" s="134">
        <f t="shared" si="12"/>
        <v>44.63739130434783</v>
      </c>
      <c r="T22" s="133">
        <v>1.5</v>
      </c>
      <c r="U22" s="134">
        <f t="shared" si="13"/>
        <v>66.956086956521744</v>
      </c>
      <c r="V22" s="131"/>
      <c r="W22" s="134">
        <f t="shared" si="14"/>
        <v>0</v>
      </c>
      <c r="X22" s="133"/>
      <c r="Y22" s="134">
        <f t="shared" si="15"/>
        <v>0</v>
      </c>
      <c r="Z22" s="131">
        <v>0.5</v>
      </c>
      <c r="AA22" s="134">
        <f t="shared" si="16"/>
        <v>23.370238095238093</v>
      </c>
      <c r="AB22" s="133">
        <v>1</v>
      </c>
      <c r="AC22" s="134">
        <f t="shared" si="17"/>
        <v>46.740476190476187</v>
      </c>
      <c r="AD22" s="131"/>
      <c r="AE22" s="134">
        <f t="shared" si="18"/>
        <v>0</v>
      </c>
      <c r="AF22" s="133"/>
      <c r="AG22" s="134">
        <f t="shared" si="19"/>
        <v>0</v>
      </c>
      <c r="AH22" s="131"/>
      <c r="AI22" s="134">
        <f t="shared" si="20"/>
        <v>0</v>
      </c>
      <c r="AJ22" s="133"/>
      <c r="AK22" s="134">
        <f t="shared" si="21"/>
        <v>0</v>
      </c>
      <c r="AL22" s="131"/>
      <c r="AM22" s="134">
        <f t="shared" si="22"/>
        <v>0</v>
      </c>
      <c r="AN22" s="133"/>
      <c r="AO22" s="134">
        <f t="shared" si="23"/>
        <v>0</v>
      </c>
      <c r="AP22" s="131"/>
      <c r="AQ22" s="134">
        <f t="shared" si="24"/>
        <v>0</v>
      </c>
      <c r="AR22" s="133"/>
      <c r="AS22" s="134">
        <f t="shared" si="25"/>
        <v>0</v>
      </c>
      <c r="AT22" s="135">
        <f>AT21</f>
        <v>0</v>
      </c>
      <c r="AU22" s="136">
        <f t="shared" si="31"/>
        <v>0</v>
      </c>
      <c r="AV22" s="137">
        <f>AV21</f>
        <v>0</v>
      </c>
      <c r="AW22" s="134">
        <f t="shared" si="26"/>
        <v>0</v>
      </c>
      <c r="AX22" s="138">
        <f>AX21</f>
        <v>0</v>
      </c>
      <c r="AY22" s="139">
        <f t="shared" si="27"/>
        <v>0</v>
      </c>
      <c r="AZ22" s="134">
        <f t="shared" si="32"/>
        <v>0</v>
      </c>
      <c r="BA22" s="134">
        <f t="shared" si="28"/>
        <v>114.15944758140411</v>
      </c>
      <c r="BB22" s="134">
        <f t="shared" si="29"/>
        <v>161.2348245106343</v>
      </c>
      <c r="BC22" s="130">
        <f t="shared" si="30"/>
        <v>47.075376929230188</v>
      </c>
      <c r="BD22" s="108">
        <f>1-BD21</f>
        <v>0.6</v>
      </c>
      <c r="BE22" s="140">
        <f>0.33333*BD22*BF35</f>
        <v>2.9999700000000001E-2</v>
      </c>
    </row>
    <row r="23" spans="2:58" ht="13.8" x14ac:dyDescent="0.3">
      <c r="B23" s="337"/>
      <c r="C23" s="311"/>
      <c r="D23" s="343" t="s">
        <v>64</v>
      </c>
      <c r="E23" s="77" t="s">
        <v>57</v>
      </c>
      <c r="F23" s="141"/>
      <c r="G23" s="142"/>
      <c r="H23" s="143"/>
      <c r="I23" s="144"/>
      <c r="J23" s="145"/>
      <c r="K23" s="144"/>
      <c r="L23" s="146"/>
      <c r="M23" s="144"/>
      <c r="N23" s="145"/>
      <c r="O23" s="144"/>
      <c r="P23" s="146"/>
      <c r="Q23" s="144"/>
      <c r="R23" s="145"/>
      <c r="S23" s="144"/>
      <c r="T23" s="146"/>
      <c r="U23" s="144"/>
      <c r="V23" s="145"/>
      <c r="W23" s="144"/>
      <c r="X23" s="146"/>
      <c r="Y23" s="144"/>
      <c r="Z23" s="145"/>
      <c r="AA23" s="144"/>
      <c r="AB23" s="146"/>
      <c r="AC23" s="144"/>
      <c r="AD23" s="145"/>
      <c r="AE23" s="144"/>
      <c r="AF23" s="146"/>
      <c r="AG23" s="144"/>
      <c r="AH23" s="145"/>
      <c r="AI23" s="144"/>
      <c r="AJ23" s="146"/>
      <c r="AK23" s="144"/>
      <c r="AL23" s="145"/>
      <c r="AM23" s="144"/>
      <c r="AN23" s="146"/>
      <c r="AO23" s="144"/>
      <c r="AP23" s="145"/>
      <c r="AQ23" s="144"/>
      <c r="AR23" s="146"/>
      <c r="AS23" s="144"/>
      <c r="AT23" s="147"/>
      <c r="AU23" s="147"/>
      <c r="AV23" s="148"/>
      <c r="AW23" s="144"/>
      <c r="AX23" s="148"/>
      <c r="AY23" s="148"/>
      <c r="AZ23" s="144"/>
      <c r="BA23" s="144"/>
      <c r="BB23" s="149"/>
      <c r="BC23" s="90">
        <f>(BC13*BE13+BC15*BE15+BC17*BE17+BC19*BE19+BC21*BE21)/(BE13+BE15+BE17+BE19+BE21)</f>
        <v>88.504614379485247</v>
      </c>
      <c r="BD23" s="150"/>
      <c r="BE23" s="92">
        <f>BE13+BE15+BE17+BE19+BE21</f>
        <v>0.41049976500000002</v>
      </c>
    </row>
    <row r="24" spans="2:58" ht="14.4" thickBot="1" x14ac:dyDescent="0.35">
      <c r="B24" s="337"/>
      <c r="C24" s="311"/>
      <c r="D24" s="340"/>
      <c r="E24" s="126" t="s">
        <v>59</v>
      </c>
      <c r="F24" s="151"/>
      <c r="G24" s="152"/>
      <c r="H24" s="153"/>
      <c r="I24" s="74"/>
      <c r="J24" s="154"/>
      <c r="K24" s="74"/>
      <c r="L24" s="155"/>
      <c r="M24" s="74"/>
      <c r="N24" s="154"/>
      <c r="O24" s="74"/>
      <c r="P24" s="155"/>
      <c r="Q24" s="74"/>
      <c r="R24" s="154"/>
      <c r="S24" s="74"/>
      <c r="T24" s="155"/>
      <c r="U24" s="74"/>
      <c r="V24" s="154"/>
      <c r="W24" s="74"/>
      <c r="X24" s="155"/>
      <c r="Y24" s="74"/>
      <c r="Z24" s="154"/>
      <c r="AA24" s="74"/>
      <c r="AB24" s="155"/>
      <c r="AC24" s="74"/>
      <c r="AD24" s="154"/>
      <c r="AE24" s="74"/>
      <c r="AF24" s="155"/>
      <c r="AG24" s="74"/>
      <c r="AH24" s="154"/>
      <c r="AI24" s="74"/>
      <c r="AJ24" s="155"/>
      <c r="AK24" s="74"/>
      <c r="AL24" s="154"/>
      <c r="AM24" s="74"/>
      <c r="AN24" s="155"/>
      <c r="AO24" s="74"/>
      <c r="AP24" s="154"/>
      <c r="AQ24" s="74"/>
      <c r="AR24" s="155"/>
      <c r="AS24" s="74"/>
      <c r="AT24" s="156"/>
      <c r="AU24" s="156"/>
      <c r="AV24" s="157"/>
      <c r="AW24" s="74"/>
      <c r="AX24" s="157"/>
      <c r="AY24" s="157"/>
      <c r="AZ24" s="74"/>
      <c r="BA24" s="74"/>
      <c r="BB24" s="75"/>
      <c r="BC24" s="130">
        <f>(BC14*BE14+BC16*BE16+BC18*BE18+BC20*BE20+BC22*BE22)/(BE14+BE16+BE18+BE20+BE22)</f>
        <v>67.69642388100408</v>
      </c>
      <c r="BD24" s="158"/>
      <c r="BE24" s="140">
        <f>BE14+BE16+BE18+BE20+BE22</f>
        <v>0.28199968500000006</v>
      </c>
    </row>
    <row r="25" spans="2:58" ht="14.4" thickBot="1" x14ac:dyDescent="0.35">
      <c r="B25" s="337"/>
      <c r="C25" s="312"/>
      <c r="D25" s="344"/>
      <c r="E25" s="159" t="s">
        <v>65</v>
      </c>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1">
        <f>(BC23*BE23+BC24*BE24)/(BE23+BE24)</f>
        <v>80.031101272735938</v>
      </c>
      <c r="BD25" s="162"/>
      <c r="BE25" s="163">
        <f>BE23+BE24</f>
        <v>0.69249945000000013</v>
      </c>
    </row>
    <row r="26" spans="2:58" ht="13.8" x14ac:dyDescent="0.3">
      <c r="B26" s="337"/>
      <c r="C26" s="310" t="s">
        <v>59</v>
      </c>
      <c r="D26" s="339" t="str">
        <f>D13</f>
        <v>Mais</v>
      </c>
      <c r="E26" s="77" t="str">
        <f>E13</f>
        <v>ja</v>
      </c>
      <c r="F26" s="78"/>
      <c r="G26" s="79">
        <v>0</v>
      </c>
      <c r="H26" s="80">
        <v>0</v>
      </c>
      <c r="I26" s="81">
        <f t="shared" ref="I26:I35" si="33">IF(G26=0,0,G26*H26+$H$5+$H$6)</f>
        <v>0</v>
      </c>
      <c r="J26" s="82">
        <v>0.9</v>
      </c>
      <c r="K26" s="81">
        <f t="shared" ref="K26:K35" si="34">J26*(J$10*$C$6+L$10)</f>
        <v>108.873</v>
      </c>
      <c r="L26" s="84">
        <v>1</v>
      </c>
      <c r="M26" s="81">
        <f t="shared" ref="M26:M35" si="35">L26*(J$10*$C$6+L$10)</f>
        <v>120.97</v>
      </c>
      <c r="N26" s="82">
        <v>0.5</v>
      </c>
      <c r="O26" s="81">
        <f t="shared" ref="O26:O35" si="36">N26*(N$10*$C$6+P$10)</f>
        <v>23.075909090909089</v>
      </c>
      <c r="P26" s="84">
        <v>1.5</v>
      </c>
      <c r="Q26" s="81">
        <f t="shared" ref="Q26:Q35" si="37">P26*(N$10*$C$6+P$10)</f>
        <v>69.227727272727265</v>
      </c>
      <c r="R26" s="82">
        <v>1</v>
      </c>
      <c r="S26" s="81">
        <f t="shared" ref="S26:S35" si="38">R26*(R$10*$C$6+T$10)</f>
        <v>44.63739130434783</v>
      </c>
      <c r="T26" s="84">
        <v>1.5</v>
      </c>
      <c r="U26" s="81">
        <f t="shared" ref="U26:U35" si="39">T26*(R$10*$C$6+T$10)</f>
        <v>66.956086956521744</v>
      </c>
      <c r="V26" s="82"/>
      <c r="W26" s="81">
        <f t="shared" ref="W26:W35" si="40">V26*(V$10*$C$6+X$10)</f>
        <v>0</v>
      </c>
      <c r="X26" s="84"/>
      <c r="Y26" s="81">
        <f t="shared" ref="Y26:Y35" si="41">X26*(V$10*$C$6+X$10)</f>
        <v>0</v>
      </c>
      <c r="Z26" s="82">
        <v>1</v>
      </c>
      <c r="AA26" s="81">
        <f t="shared" ref="AA26:AA35" si="42">Z26*(Z$10*$C$6+AB$10)</f>
        <v>46.740476190476187</v>
      </c>
      <c r="AB26" s="84">
        <v>1</v>
      </c>
      <c r="AC26" s="81">
        <f t="shared" ref="AC26:AC35" si="43">AB26*(Z$10*$C$6+AB$10)</f>
        <v>46.740476190476187</v>
      </c>
      <c r="AD26" s="82"/>
      <c r="AE26" s="81">
        <f t="shared" ref="AE26:AE35" si="44">AD26*(AD$10*$C$6+AF$10)</f>
        <v>0</v>
      </c>
      <c r="AF26" s="84"/>
      <c r="AG26" s="81">
        <f t="shared" ref="AG26:AG35" si="45">AF26*(AD$10*$C$6+AF$10)</f>
        <v>0</v>
      </c>
      <c r="AH26" s="82"/>
      <c r="AI26" s="81">
        <f t="shared" ref="AI26:AI35" si="46">AH26*(AH$10*$C$6+AJ$10)</f>
        <v>0</v>
      </c>
      <c r="AJ26" s="84"/>
      <c r="AK26" s="81">
        <f t="shared" ref="AK26:AK35" si="47">AJ26*(AH$10*$C$6+AJ$10)</f>
        <v>0</v>
      </c>
      <c r="AL26" s="82"/>
      <c r="AM26" s="81">
        <f t="shared" ref="AM26:AM35" si="48">AL26*(AL$10*$C$6+AN$10)</f>
        <v>0</v>
      </c>
      <c r="AN26" s="84"/>
      <c r="AO26" s="81">
        <f t="shared" ref="AO26:AO35" si="49">AN26*(AL$10*$C$6+AN$10)</f>
        <v>0</v>
      </c>
      <c r="AP26" s="82"/>
      <c r="AQ26" s="81">
        <f t="shared" ref="AQ26:AQ35" si="50">AP26*(AP$10*$C$6+AR$10)</f>
        <v>0</v>
      </c>
      <c r="AR26" s="84"/>
      <c r="AS26" s="81">
        <f t="shared" ref="AS26:AS35" si="51">AR26*(AP$10*$C$6+AR$10)</f>
        <v>0</v>
      </c>
      <c r="AT26" s="85">
        <v>0</v>
      </c>
      <c r="AU26" s="86">
        <f t="shared" ref="AU26:AU35" si="52">AT26*0.9</f>
        <v>0</v>
      </c>
      <c r="AV26" s="87">
        <f>AV13</f>
        <v>0</v>
      </c>
      <c r="AW26" s="81">
        <f t="shared" ref="AW26:AW35" si="53">AV26*(AT26-AU26)</f>
        <v>0</v>
      </c>
      <c r="AX26" s="88">
        <v>0</v>
      </c>
      <c r="AY26" s="89">
        <f t="shared" ref="AY26:AY35" si="54">AV26-AX26</f>
        <v>0</v>
      </c>
      <c r="AZ26" s="81">
        <f t="shared" ref="AZ26:AZ35" si="55">(AV26-AY26)*AU26</f>
        <v>0</v>
      </c>
      <c r="BA26" s="81">
        <f t="shared" ref="BA26:BA35" si="56">IF(SUM(AO26+AD26+Z26+V26+R26+N26+J26)=0,0,K26+O26+S26+W26+AA26+AE26+AH26+AL26+AP26+AX26)</f>
        <v>223.32677658573311</v>
      </c>
      <c r="BB26" s="81">
        <f t="shared" ref="BB26:BB35" si="57">IF(SUM(AR26+AF26+AB26+X26+T26+P26+L26)=0,0,I26+M26+Q26+U26+Y26+AC26+AG26+AK26+AO26+AS26+AW26+AZ26-$H$8)</f>
        <v>259.12891541972516</v>
      </c>
      <c r="BC26" s="164">
        <f t="shared" ref="BC26:BC35" si="58">IF(BB26-BA26&gt;0,BB26-BA26,0)</f>
        <v>35.802138833992046</v>
      </c>
      <c r="BD26" s="91">
        <v>0.7</v>
      </c>
      <c r="BE26" s="92">
        <f>0.6666667*BD26*BF27</f>
        <v>7.0000003499999991E-2</v>
      </c>
    </row>
    <row r="27" spans="2:58" ht="13.8" x14ac:dyDescent="0.3">
      <c r="B27" s="337"/>
      <c r="C27" s="311"/>
      <c r="D27" s="297"/>
      <c r="E27" s="94" t="str">
        <f t="shared" ref="E27:E37" si="59">E14</f>
        <v>nein</v>
      </c>
      <c r="F27" s="95"/>
      <c r="G27" s="96">
        <v>0</v>
      </c>
      <c r="H27" s="97">
        <v>0</v>
      </c>
      <c r="I27" s="98">
        <f t="shared" si="33"/>
        <v>0</v>
      </c>
      <c r="J27" s="99"/>
      <c r="K27" s="98">
        <f t="shared" si="34"/>
        <v>0</v>
      </c>
      <c r="L27" s="101"/>
      <c r="M27" s="98">
        <f t="shared" si="35"/>
        <v>0</v>
      </c>
      <c r="N27" s="99">
        <v>1</v>
      </c>
      <c r="O27" s="98">
        <f t="shared" si="36"/>
        <v>46.151818181818179</v>
      </c>
      <c r="P27" s="101">
        <v>2</v>
      </c>
      <c r="Q27" s="98">
        <f t="shared" si="37"/>
        <v>92.303636363636357</v>
      </c>
      <c r="R27" s="99">
        <v>1</v>
      </c>
      <c r="S27" s="98">
        <f t="shared" si="38"/>
        <v>44.63739130434783</v>
      </c>
      <c r="T27" s="101">
        <v>1.5</v>
      </c>
      <c r="U27" s="98">
        <f t="shared" si="39"/>
        <v>66.956086956521744</v>
      </c>
      <c r="V27" s="99"/>
      <c r="W27" s="98">
        <f t="shared" si="40"/>
        <v>0</v>
      </c>
      <c r="X27" s="101"/>
      <c r="Y27" s="98">
        <f t="shared" si="41"/>
        <v>0</v>
      </c>
      <c r="Z27" s="99">
        <v>1</v>
      </c>
      <c r="AA27" s="98">
        <f t="shared" si="42"/>
        <v>46.740476190476187</v>
      </c>
      <c r="AB27" s="101">
        <v>1</v>
      </c>
      <c r="AC27" s="98">
        <f t="shared" si="43"/>
        <v>46.740476190476187</v>
      </c>
      <c r="AD27" s="99"/>
      <c r="AE27" s="98">
        <f t="shared" si="44"/>
        <v>0</v>
      </c>
      <c r="AF27" s="101"/>
      <c r="AG27" s="98">
        <f t="shared" si="45"/>
        <v>0</v>
      </c>
      <c r="AH27" s="99"/>
      <c r="AI27" s="98">
        <f t="shared" si="46"/>
        <v>0</v>
      </c>
      <c r="AJ27" s="101"/>
      <c r="AK27" s="98">
        <f t="shared" si="47"/>
        <v>0</v>
      </c>
      <c r="AL27" s="99"/>
      <c r="AM27" s="98">
        <f t="shared" si="48"/>
        <v>0</v>
      </c>
      <c r="AN27" s="101"/>
      <c r="AO27" s="98">
        <f t="shared" si="49"/>
        <v>0</v>
      </c>
      <c r="AP27" s="99"/>
      <c r="AQ27" s="98">
        <f t="shared" si="50"/>
        <v>0</v>
      </c>
      <c r="AR27" s="101"/>
      <c r="AS27" s="98">
        <f t="shared" si="51"/>
        <v>0</v>
      </c>
      <c r="AT27" s="102">
        <f>AT26</f>
        <v>0</v>
      </c>
      <c r="AU27" s="103">
        <f t="shared" si="52"/>
        <v>0</v>
      </c>
      <c r="AV27" s="104">
        <f>AV26</f>
        <v>0</v>
      </c>
      <c r="AW27" s="98">
        <f t="shared" si="53"/>
        <v>0</v>
      </c>
      <c r="AX27" s="105">
        <f>AX26</f>
        <v>0</v>
      </c>
      <c r="AY27" s="106">
        <f t="shared" si="54"/>
        <v>0</v>
      </c>
      <c r="AZ27" s="98">
        <f t="shared" si="55"/>
        <v>0</v>
      </c>
      <c r="BA27" s="98">
        <f t="shared" si="56"/>
        <v>137.5296856766422</v>
      </c>
      <c r="BB27" s="98">
        <f t="shared" si="57"/>
        <v>161.2348245106343</v>
      </c>
      <c r="BC27" s="107">
        <f t="shared" si="58"/>
        <v>23.705138833992095</v>
      </c>
      <c r="BD27" s="108">
        <f>1-BD26</f>
        <v>0.30000000000000004</v>
      </c>
      <c r="BE27" s="109">
        <f>BF27-BE26-BE14-BE13</f>
        <v>3.0000046500000002E-2</v>
      </c>
      <c r="BF27" s="165">
        <v>0.15</v>
      </c>
    </row>
    <row r="28" spans="2:58" ht="13.8" x14ac:dyDescent="0.3">
      <c r="B28" s="337"/>
      <c r="C28" s="311"/>
      <c r="D28" s="298" t="str">
        <f>D15</f>
        <v>Sommer-
getreide</v>
      </c>
      <c r="E28" s="110" t="str">
        <f t="shared" si="59"/>
        <v>ja</v>
      </c>
      <c r="F28" s="111"/>
      <c r="G28" s="112">
        <v>0</v>
      </c>
      <c r="H28" s="113">
        <v>0</v>
      </c>
      <c r="I28" s="118">
        <f t="shared" si="33"/>
        <v>0</v>
      </c>
      <c r="J28" s="115">
        <v>0.9</v>
      </c>
      <c r="K28" s="118">
        <f t="shared" si="34"/>
        <v>108.873</v>
      </c>
      <c r="L28" s="117">
        <v>1</v>
      </c>
      <c r="M28" s="118">
        <f t="shared" si="35"/>
        <v>120.97</v>
      </c>
      <c r="N28" s="115">
        <v>0.5</v>
      </c>
      <c r="O28" s="118">
        <f t="shared" si="36"/>
        <v>23.075909090909089</v>
      </c>
      <c r="P28" s="117">
        <v>1.5</v>
      </c>
      <c r="Q28" s="118">
        <f t="shared" si="37"/>
        <v>69.227727272727265</v>
      </c>
      <c r="R28" s="115">
        <v>1</v>
      </c>
      <c r="S28" s="118">
        <f t="shared" si="38"/>
        <v>44.63739130434783</v>
      </c>
      <c r="T28" s="117">
        <v>1</v>
      </c>
      <c r="U28" s="118">
        <f t="shared" si="39"/>
        <v>44.63739130434783</v>
      </c>
      <c r="V28" s="115"/>
      <c r="W28" s="118">
        <f t="shared" si="40"/>
        <v>0</v>
      </c>
      <c r="X28" s="117"/>
      <c r="Y28" s="118">
        <f t="shared" si="41"/>
        <v>0</v>
      </c>
      <c r="Z28" s="115"/>
      <c r="AA28" s="118">
        <f t="shared" si="42"/>
        <v>0</v>
      </c>
      <c r="AB28" s="117"/>
      <c r="AC28" s="118">
        <f t="shared" si="43"/>
        <v>0</v>
      </c>
      <c r="AD28" s="115"/>
      <c r="AE28" s="118">
        <f t="shared" si="44"/>
        <v>0</v>
      </c>
      <c r="AF28" s="117"/>
      <c r="AG28" s="118">
        <f t="shared" si="45"/>
        <v>0</v>
      </c>
      <c r="AH28" s="115"/>
      <c r="AI28" s="118">
        <f t="shared" si="46"/>
        <v>0</v>
      </c>
      <c r="AJ28" s="117"/>
      <c r="AK28" s="118">
        <f t="shared" si="47"/>
        <v>0</v>
      </c>
      <c r="AL28" s="115"/>
      <c r="AM28" s="118">
        <f t="shared" si="48"/>
        <v>0</v>
      </c>
      <c r="AN28" s="117"/>
      <c r="AO28" s="118">
        <f t="shared" si="49"/>
        <v>0</v>
      </c>
      <c r="AP28" s="115"/>
      <c r="AQ28" s="118">
        <f t="shared" si="50"/>
        <v>0</v>
      </c>
      <c r="AR28" s="117"/>
      <c r="AS28" s="118">
        <f t="shared" si="51"/>
        <v>0</v>
      </c>
      <c r="AT28" s="119">
        <v>0</v>
      </c>
      <c r="AU28" s="120">
        <f t="shared" si="52"/>
        <v>0</v>
      </c>
      <c r="AV28" s="121">
        <f>AV15</f>
        <v>0</v>
      </c>
      <c r="AW28" s="118">
        <f t="shared" si="53"/>
        <v>0</v>
      </c>
      <c r="AX28" s="122">
        <v>0</v>
      </c>
      <c r="AY28" s="123">
        <f t="shared" si="54"/>
        <v>0</v>
      </c>
      <c r="AZ28" s="118">
        <f t="shared" si="55"/>
        <v>0</v>
      </c>
      <c r="BA28" s="118">
        <f t="shared" si="56"/>
        <v>176.58630039525693</v>
      </c>
      <c r="BB28" s="118">
        <f t="shared" si="57"/>
        <v>190.06974357707509</v>
      </c>
      <c r="BC28" s="166">
        <f t="shared" si="58"/>
        <v>13.48344318181816</v>
      </c>
      <c r="BD28" s="124">
        <v>0.6</v>
      </c>
      <c r="BE28" s="125">
        <f>0.2*BD28*BF29</f>
        <v>6.0000000000000001E-3</v>
      </c>
    </row>
    <row r="29" spans="2:58" ht="13.8" x14ac:dyDescent="0.3">
      <c r="B29" s="337"/>
      <c r="C29" s="311"/>
      <c r="D29" s="297"/>
      <c r="E29" s="94" t="str">
        <f t="shared" si="59"/>
        <v>nein</v>
      </c>
      <c r="F29" s="95"/>
      <c r="G29" s="96">
        <v>0</v>
      </c>
      <c r="H29" s="97">
        <v>0</v>
      </c>
      <c r="I29" s="98">
        <f t="shared" si="33"/>
        <v>0</v>
      </c>
      <c r="J29" s="99"/>
      <c r="K29" s="98">
        <f t="shared" si="34"/>
        <v>0</v>
      </c>
      <c r="L29" s="101"/>
      <c r="M29" s="98">
        <f t="shared" si="35"/>
        <v>0</v>
      </c>
      <c r="N29" s="99">
        <v>1</v>
      </c>
      <c r="O29" s="98">
        <f t="shared" si="36"/>
        <v>46.151818181818179</v>
      </c>
      <c r="P29" s="101">
        <v>2</v>
      </c>
      <c r="Q29" s="98">
        <f t="shared" si="37"/>
        <v>92.303636363636357</v>
      </c>
      <c r="R29" s="99">
        <v>1</v>
      </c>
      <c r="S29" s="98">
        <f t="shared" si="38"/>
        <v>44.63739130434783</v>
      </c>
      <c r="T29" s="101">
        <v>1</v>
      </c>
      <c r="U29" s="98">
        <f t="shared" si="39"/>
        <v>44.63739130434783</v>
      </c>
      <c r="V29" s="99"/>
      <c r="W29" s="98">
        <f t="shared" si="40"/>
        <v>0</v>
      </c>
      <c r="X29" s="101"/>
      <c r="Y29" s="98">
        <f t="shared" si="41"/>
        <v>0</v>
      </c>
      <c r="Z29" s="99"/>
      <c r="AA29" s="98">
        <f t="shared" si="42"/>
        <v>0</v>
      </c>
      <c r="AB29" s="101"/>
      <c r="AC29" s="98">
        <f t="shared" si="43"/>
        <v>0</v>
      </c>
      <c r="AD29" s="99"/>
      <c r="AE29" s="98">
        <f t="shared" si="44"/>
        <v>0</v>
      </c>
      <c r="AF29" s="101"/>
      <c r="AG29" s="98">
        <f t="shared" si="45"/>
        <v>0</v>
      </c>
      <c r="AH29" s="99"/>
      <c r="AI29" s="98">
        <f t="shared" si="46"/>
        <v>0</v>
      </c>
      <c r="AJ29" s="101"/>
      <c r="AK29" s="98">
        <f t="shared" si="47"/>
        <v>0</v>
      </c>
      <c r="AL29" s="99"/>
      <c r="AM29" s="98">
        <f t="shared" si="48"/>
        <v>0</v>
      </c>
      <c r="AN29" s="101"/>
      <c r="AO29" s="98">
        <f t="shared" si="49"/>
        <v>0</v>
      </c>
      <c r="AP29" s="99"/>
      <c r="AQ29" s="98">
        <f t="shared" si="50"/>
        <v>0</v>
      </c>
      <c r="AR29" s="101"/>
      <c r="AS29" s="98">
        <f t="shared" si="51"/>
        <v>0</v>
      </c>
      <c r="AT29" s="102">
        <f>AT28</f>
        <v>0</v>
      </c>
      <c r="AU29" s="103">
        <f t="shared" si="52"/>
        <v>0</v>
      </c>
      <c r="AV29" s="104">
        <f>AV28</f>
        <v>0</v>
      </c>
      <c r="AW29" s="98">
        <f t="shared" si="53"/>
        <v>0</v>
      </c>
      <c r="AX29" s="105">
        <f>AX28</f>
        <v>0</v>
      </c>
      <c r="AY29" s="106">
        <f t="shared" si="54"/>
        <v>0</v>
      </c>
      <c r="AZ29" s="98">
        <f t="shared" si="55"/>
        <v>0</v>
      </c>
      <c r="BA29" s="98">
        <f t="shared" si="56"/>
        <v>90.789209486166015</v>
      </c>
      <c r="BB29" s="98">
        <f t="shared" si="57"/>
        <v>92.175652667984195</v>
      </c>
      <c r="BC29" s="107">
        <f t="shared" si="58"/>
        <v>1.3864431818181799</v>
      </c>
      <c r="BD29" s="108">
        <f>1-BD28</f>
        <v>0.4</v>
      </c>
      <c r="BE29" s="109">
        <f>BF29-BE28-BE16-BE15</f>
        <v>4.0000000000000001E-3</v>
      </c>
      <c r="BF29" s="165">
        <v>0.05</v>
      </c>
    </row>
    <row r="30" spans="2:58" ht="13.8" x14ac:dyDescent="0.3">
      <c r="B30" s="337"/>
      <c r="C30" s="311"/>
      <c r="D30" s="340" t="str">
        <f>D17</f>
        <v>Winter-
getreide</v>
      </c>
      <c r="E30" s="110" t="str">
        <f t="shared" si="59"/>
        <v>ja</v>
      </c>
      <c r="F30" s="111"/>
      <c r="G30" s="112">
        <v>0</v>
      </c>
      <c r="H30" s="113">
        <v>0</v>
      </c>
      <c r="I30" s="118">
        <f t="shared" si="33"/>
        <v>0</v>
      </c>
      <c r="J30" s="115">
        <v>0.9</v>
      </c>
      <c r="K30" s="118">
        <f t="shared" si="34"/>
        <v>108.873</v>
      </c>
      <c r="L30" s="117">
        <v>1</v>
      </c>
      <c r="M30" s="118">
        <f t="shared" si="35"/>
        <v>120.97</v>
      </c>
      <c r="N30" s="115">
        <v>0.5</v>
      </c>
      <c r="O30" s="118">
        <f t="shared" si="36"/>
        <v>23.075909090909089</v>
      </c>
      <c r="P30" s="117">
        <v>1.5</v>
      </c>
      <c r="Q30" s="118">
        <f t="shared" si="37"/>
        <v>69.227727272727265</v>
      </c>
      <c r="R30" s="115">
        <v>1</v>
      </c>
      <c r="S30" s="118">
        <f t="shared" si="38"/>
        <v>44.63739130434783</v>
      </c>
      <c r="T30" s="117">
        <v>1</v>
      </c>
      <c r="U30" s="118">
        <f t="shared" si="39"/>
        <v>44.63739130434783</v>
      </c>
      <c r="V30" s="115"/>
      <c r="W30" s="118">
        <f t="shared" si="40"/>
        <v>0</v>
      </c>
      <c r="X30" s="117"/>
      <c r="Y30" s="118">
        <f t="shared" si="41"/>
        <v>0</v>
      </c>
      <c r="Z30" s="115"/>
      <c r="AA30" s="118">
        <f t="shared" si="42"/>
        <v>0</v>
      </c>
      <c r="AB30" s="117"/>
      <c r="AC30" s="118">
        <f t="shared" si="43"/>
        <v>0</v>
      </c>
      <c r="AD30" s="115"/>
      <c r="AE30" s="118">
        <f t="shared" si="44"/>
        <v>0</v>
      </c>
      <c r="AF30" s="117"/>
      <c r="AG30" s="118">
        <f t="shared" si="45"/>
        <v>0</v>
      </c>
      <c r="AH30" s="115"/>
      <c r="AI30" s="118">
        <f t="shared" si="46"/>
        <v>0</v>
      </c>
      <c r="AJ30" s="117"/>
      <c r="AK30" s="118">
        <f t="shared" si="47"/>
        <v>0</v>
      </c>
      <c r="AL30" s="115"/>
      <c r="AM30" s="118">
        <f t="shared" si="48"/>
        <v>0</v>
      </c>
      <c r="AN30" s="117"/>
      <c r="AO30" s="118">
        <f t="shared" si="49"/>
        <v>0</v>
      </c>
      <c r="AP30" s="115"/>
      <c r="AQ30" s="118">
        <f t="shared" si="50"/>
        <v>0</v>
      </c>
      <c r="AR30" s="117"/>
      <c r="AS30" s="118">
        <f t="shared" si="51"/>
        <v>0</v>
      </c>
      <c r="AT30" s="119">
        <v>0</v>
      </c>
      <c r="AU30" s="120">
        <f t="shared" si="52"/>
        <v>0</v>
      </c>
      <c r="AV30" s="121">
        <f>AV17</f>
        <v>0</v>
      </c>
      <c r="AW30" s="118">
        <f t="shared" si="53"/>
        <v>0</v>
      </c>
      <c r="AX30" s="122">
        <v>0</v>
      </c>
      <c r="AY30" s="123">
        <f t="shared" si="54"/>
        <v>0</v>
      </c>
      <c r="AZ30" s="118">
        <f t="shared" si="55"/>
        <v>0</v>
      </c>
      <c r="BA30" s="118">
        <f t="shared" si="56"/>
        <v>176.58630039525693</v>
      </c>
      <c r="BB30" s="118">
        <f t="shared" si="57"/>
        <v>190.06974357707509</v>
      </c>
      <c r="BC30" s="166">
        <f t="shared" si="58"/>
        <v>13.48344318181816</v>
      </c>
      <c r="BD30" s="124">
        <v>0.6</v>
      </c>
      <c r="BE30" s="125">
        <f>0.15*BD30*BF31</f>
        <v>5.8499999999999996E-2</v>
      </c>
    </row>
    <row r="31" spans="2:58" ht="13.8" x14ac:dyDescent="0.3">
      <c r="B31" s="337"/>
      <c r="C31" s="311"/>
      <c r="D31" s="340"/>
      <c r="E31" s="94" t="str">
        <f t="shared" si="59"/>
        <v>nein</v>
      </c>
      <c r="F31" s="95"/>
      <c r="G31" s="96">
        <v>0</v>
      </c>
      <c r="H31" s="97">
        <v>0</v>
      </c>
      <c r="I31" s="98">
        <f t="shared" si="33"/>
        <v>0</v>
      </c>
      <c r="J31" s="99"/>
      <c r="K31" s="98">
        <f t="shared" si="34"/>
        <v>0</v>
      </c>
      <c r="L31" s="101"/>
      <c r="M31" s="98">
        <f t="shared" si="35"/>
        <v>0</v>
      </c>
      <c r="N31" s="99">
        <v>1</v>
      </c>
      <c r="O31" s="98">
        <f t="shared" si="36"/>
        <v>46.151818181818179</v>
      </c>
      <c r="P31" s="101">
        <v>2</v>
      </c>
      <c r="Q31" s="98">
        <f t="shared" si="37"/>
        <v>92.303636363636357</v>
      </c>
      <c r="R31" s="99">
        <v>1</v>
      </c>
      <c r="S31" s="98">
        <f t="shared" si="38"/>
        <v>44.63739130434783</v>
      </c>
      <c r="T31" s="101">
        <v>1</v>
      </c>
      <c r="U31" s="98">
        <f t="shared" si="39"/>
        <v>44.63739130434783</v>
      </c>
      <c r="V31" s="99"/>
      <c r="W31" s="98">
        <f t="shared" si="40"/>
        <v>0</v>
      </c>
      <c r="X31" s="101"/>
      <c r="Y31" s="98">
        <f t="shared" si="41"/>
        <v>0</v>
      </c>
      <c r="Z31" s="99"/>
      <c r="AA31" s="98">
        <f t="shared" si="42"/>
        <v>0</v>
      </c>
      <c r="AB31" s="101"/>
      <c r="AC31" s="98">
        <f t="shared" si="43"/>
        <v>0</v>
      </c>
      <c r="AD31" s="99"/>
      <c r="AE31" s="98">
        <f t="shared" si="44"/>
        <v>0</v>
      </c>
      <c r="AF31" s="101"/>
      <c r="AG31" s="98">
        <f t="shared" si="45"/>
        <v>0</v>
      </c>
      <c r="AH31" s="99"/>
      <c r="AI31" s="98">
        <f t="shared" si="46"/>
        <v>0</v>
      </c>
      <c r="AJ31" s="101"/>
      <c r="AK31" s="98">
        <f t="shared" si="47"/>
        <v>0</v>
      </c>
      <c r="AL31" s="99"/>
      <c r="AM31" s="98">
        <f t="shared" si="48"/>
        <v>0</v>
      </c>
      <c r="AN31" s="101"/>
      <c r="AO31" s="98">
        <f t="shared" si="49"/>
        <v>0</v>
      </c>
      <c r="AP31" s="99"/>
      <c r="AQ31" s="98">
        <f t="shared" si="50"/>
        <v>0</v>
      </c>
      <c r="AR31" s="101"/>
      <c r="AS31" s="98">
        <f t="shared" si="51"/>
        <v>0</v>
      </c>
      <c r="AT31" s="102">
        <f>AT30</f>
        <v>0</v>
      </c>
      <c r="AU31" s="103">
        <f t="shared" si="52"/>
        <v>0</v>
      </c>
      <c r="AV31" s="104">
        <f>AV30</f>
        <v>0</v>
      </c>
      <c r="AW31" s="98">
        <f t="shared" si="53"/>
        <v>0</v>
      </c>
      <c r="AX31" s="105">
        <f>AX30</f>
        <v>0</v>
      </c>
      <c r="AY31" s="106">
        <f t="shared" si="54"/>
        <v>0</v>
      </c>
      <c r="AZ31" s="98">
        <f t="shared" si="55"/>
        <v>0</v>
      </c>
      <c r="BA31" s="98">
        <f t="shared" si="56"/>
        <v>90.789209486166015</v>
      </c>
      <c r="BB31" s="98">
        <f t="shared" si="57"/>
        <v>92.175652667984195</v>
      </c>
      <c r="BC31" s="107">
        <f t="shared" si="58"/>
        <v>1.3864431818181799</v>
      </c>
      <c r="BD31" s="108">
        <f>1-BD30</f>
        <v>0.4</v>
      </c>
      <c r="BE31" s="109">
        <f>BF31-BE30-BE18-BE17</f>
        <v>3.8999999999999979E-2</v>
      </c>
      <c r="BF31" s="165">
        <v>0.65</v>
      </c>
    </row>
    <row r="32" spans="2:58" ht="13.8" x14ac:dyDescent="0.3">
      <c r="B32" s="337"/>
      <c r="C32" s="311"/>
      <c r="D32" s="341" t="str">
        <f>D19</f>
        <v>Winter-
raps</v>
      </c>
      <c r="E32" s="110" t="str">
        <f t="shared" si="59"/>
        <v>ja</v>
      </c>
      <c r="F32" s="111"/>
      <c r="G32" s="112">
        <v>0</v>
      </c>
      <c r="H32" s="113">
        <v>0</v>
      </c>
      <c r="I32" s="118">
        <f t="shared" si="33"/>
        <v>0</v>
      </c>
      <c r="J32" s="115">
        <v>0.7</v>
      </c>
      <c r="K32" s="118">
        <f t="shared" si="34"/>
        <v>84.678999999999988</v>
      </c>
      <c r="L32" s="117">
        <v>0.9</v>
      </c>
      <c r="M32" s="118">
        <f t="shared" si="35"/>
        <v>108.873</v>
      </c>
      <c r="N32" s="115">
        <v>0.5</v>
      </c>
      <c r="O32" s="118">
        <f t="shared" si="36"/>
        <v>23.075909090909089</v>
      </c>
      <c r="P32" s="117">
        <v>1.5</v>
      </c>
      <c r="Q32" s="118">
        <f t="shared" si="37"/>
        <v>69.227727272727265</v>
      </c>
      <c r="R32" s="115">
        <v>1</v>
      </c>
      <c r="S32" s="118">
        <f t="shared" si="38"/>
        <v>44.63739130434783</v>
      </c>
      <c r="T32" s="117">
        <v>1.5</v>
      </c>
      <c r="U32" s="118">
        <f t="shared" si="39"/>
        <v>66.956086956521744</v>
      </c>
      <c r="V32" s="115"/>
      <c r="W32" s="118">
        <f t="shared" si="40"/>
        <v>0</v>
      </c>
      <c r="X32" s="117">
        <v>1</v>
      </c>
      <c r="Y32" s="118">
        <f t="shared" si="41"/>
        <v>16.785354141656661</v>
      </c>
      <c r="Z32" s="115"/>
      <c r="AA32" s="118">
        <f t="shared" si="42"/>
        <v>0</v>
      </c>
      <c r="AB32" s="117"/>
      <c r="AC32" s="118">
        <f t="shared" si="43"/>
        <v>0</v>
      </c>
      <c r="AD32" s="115"/>
      <c r="AE32" s="118">
        <f t="shared" si="44"/>
        <v>0</v>
      </c>
      <c r="AF32" s="117"/>
      <c r="AG32" s="118">
        <f t="shared" si="45"/>
        <v>0</v>
      </c>
      <c r="AH32" s="115"/>
      <c r="AI32" s="118">
        <f t="shared" si="46"/>
        <v>0</v>
      </c>
      <c r="AJ32" s="117"/>
      <c r="AK32" s="118">
        <f t="shared" si="47"/>
        <v>0</v>
      </c>
      <c r="AL32" s="115"/>
      <c r="AM32" s="118">
        <f t="shared" si="48"/>
        <v>0</v>
      </c>
      <c r="AN32" s="117"/>
      <c r="AO32" s="118">
        <f t="shared" si="49"/>
        <v>0</v>
      </c>
      <c r="AP32" s="115"/>
      <c r="AQ32" s="118">
        <f t="shared" si="50"/>
        <v>0</v>
      </c>
      <c r="AR32" s="117"/>
      <c r="AS32" s="118">
        <f t="shared" si="51"/>
        <v>0</v>
      </c>
      <c r="AT32" s="119">
        <v>0</v>
      </c>
      <c r="AU32" s="120">
        <f t="shared" si="52"/>
        <v>0</v>
      </c>
      <c r="AV32" s="121">
        <f>AV19</f>
        <v>0</v>
      </c>
      <c r="AW32" s="118">
        <f t="shared" si="53"/>
        <v>0</v>
      </c>
      <c r="AX32" s="122">
        <v>0</v>
      </c>
      <c r="AY32" s="123">
        <f t="shared" si="54"/>
        <v>0</v>
      </c>
      <c r="AZ32" s="118">
        <f t="shared" si="55"/>
        <v>0</v>
      </c>
      <c r="BA32" s="118">
        <f t="shared" si="56"/>
        <v>152.39230039525691</v>
      </c>
      <c r="BB32" s="118">
        <f t="shared" si="57"/>
        <v>217.0767933709057</v>
      </c>
      <c r="BC32" s="166">
        <f t="shared" si="58"/>
        <v>64.684492975648794</v>
      </c>
      <c r="BD32" s="124">
        <v>0.6</v>
      </c>
      <c r="BE32" s="125">
        <f>0.6*BD32*BF33</f>
        <v>0</v>
      </c>
    </row>
    <row r="33" spans="2:59" ht="13.8" x14ac:dyDescent="0.3">
      <c r="B33" s="337"/>
      <c r="C33" s="311"/>
      <c r="D33" s="342"/>
      <c r="E33" s="94" t="str">
        <f t="shared" si="59"/>
        <v>nein</v>
      </c>
      <c r="F33" s="95"/>
      <c r="G33" s="96">
        <v>0</v>
      </c>
      <c r="H33" s="97">
        <v>0</v>
      </c>
      <c r="I33" s="98">
        <f t="shared" si="33"/>
        <v>0</v>
      </c>
      <c r="J33" s="99"/>
      <c r="K33" s="98">
        <f t="shared" si="34"/>
        <v>0</v>
      </c>
      <c r="L33" s="101"/>
      <c r="M33" s="98">
        <f t="shared" si="35"/>
        <v>0</v>
      </c>
      <c r="N33" s="99">
        <v>1</v>
      </c>
      <c r="O33" s="98">
        <f t="shared" si="36"/>
        <v>46.151818181818179</v>
      </c>
      <c r="P33" s="101">
        <v>2</v>
      </c>
      <c r="Q33" s="98">
        <f t="shared" si="37"/>
        <v>92.303636363636357</v>
      </c>
      <c r="R33" s="99">
        <v>1</v>
      </c>
      <c r="S33" s="98">
        <f t="shared" si="38"/>
        <v>44.63739130434783</v>
      </c>
      <c r="T33" s="101">
        <v>1.5</v>
      </c>
      <c r="U33" s="98">
        <f t="shared" si="39"/>
        <v>66.956086956521744</v>
      </c>
      <c r="V33" s="99"/>
      <c r="W33" s="98">
        <f t="shared" si="40"/>
        <v>0</v>
      </c>
      <c r="X33" s="101">
        <v>1</v>
      </c>
      <c r="Y33" s="98">
        <f t="shared" si="41"/>
        <v>16.785354141656661</v>
      </c>
      <c r="Z33" s="99"/>
      <c r="AA33" s="98">
        <f t="shared" si="42"/>
        <v>0</v>
      </c>
      <c r="AB33" s="101"/>
      <c r="AC33" s="98">
        <f t="shared" si="43"/>
        <v>0</v>
      </c>
      <c r="AD33" s="99"/>
      <c r="AE33" s="98">
        <f t="shared" si="44"/>
        <v>0</v>
      </c>
      <c r="AF33" s="101"/>
      <c r="AG33" s="98">
        <f t="shared" si="45"/>
        <v>0</v>
      </c>
      <c r="AH33" s="99"/>
      <c r="AI33" s="98">
        <f t="shared" si="46"/>
        <v>0</v>
      </c>
      <c r="AJ33" s="101"/>
      <c r="AK33" s="98">
        <f t="shared" si="47"/>
        <v>0</v>
      </c>
      <c r="AL33" s="99"/>
      <c r="AM33" s="98">
        <f t="shared" si="48"/>
        <v>0</v>
      </c>
      <c r="AN33" s="101"/>
      <c r="AO33" s="98">
        <f t="shared" si="49"/>
        <v>0</v>
      </c>
      <c r="AP33" s="99"/>
      <c r="AQ33" s="98">
        <f t="shared" si="50"/>
        <v>0</v>
      </c>
      <c r="AR33" s="101"/>
      <c r="AS33" s="98">
        <f t="shared" si="51"/>
        <v>0</v>
      </c>
      <c r="AT33" s="102">
        <f>AT32</f>
        <v>0</v>
      </c>
      <c r="AU33" s="103">
        <f t="shared" si="52"/>
        <v>0</v>
      </c>
      <c r="AV33" s="104">
        <f>AV32</f>
        <v>0</v>
      </c>
      <c r="AW33" s="98">
        <f t="shared" si="53"/>
        <v>0</v>
      </c>
      <c r="AX33" s="105">
        <f>AX32</f>
        <v>0</v>
      </c>
      <c r="AY33" s="106">
        <f t="shared" si="54"/>
        <v>0</v>
      </c>
      <c r="AZ33" s="98">
        <f t="shared" si="55"/>
        <v>0</v>
      </c>
      <c r="BA33" s="98">
        <f t="shared" si="56"/>
        <v>90.789209486166015</v>
      </c>
      <c r="BB33" s="98">
        <f t="shared" si="57"/>
        <v>131.27970246181476</v>
      </c>
      <c r="BC33" s="107">
        <f t="shared" si="58"/>
        <v>40.490492975648749</v>
      </c>
      <c r="BD33" s="108">
        <f>1-BD32</f>
        <v>0.4</v>
      </c>
      <c r="BE33" s="109">
        <f>BF33-BE32-BE20-BE19</f>
        <v>0</v>
      </c>
      <c r="BF33" s="165">
        <v>0</v>
      </c>
    </row>
    <row r="34" spans="2:59" ht="13.8" x14ac:dyDescent="0.3">
      <c r="B34" s="337"/>
      <c r="C34" s="311"/>
      <c r="D34" s="340" t="str">
        <f>D21</f>
        <v>Zucker-
rüben</v>
      </c>
      <c r="E34" s="110" t="str">
        <f t="shared" si="59"/>
        <v>ja</v>
      </c>
      <c r="F34" s="111"/>
      <c r="G34" s="112">
        <v>0</v>
      </c>
      <c r="H34" s="113">
        <v>0</v>
      </c>
      <c r="I34" s="118">
        <f t="shared" si="33"/>
        <v>0</v>
      </c>
      <c r="J34" s="115">
        <v>0.6</v>
      </c>
      <c r="K34" s="118">
        <f t="shared" si="34"/>
        <v>72.581999999999994</v>
      </c>
      <c r="L34" s="117">
        <v>0.7</v>
      </c>
      <c r="M34" s="118">
        <f t="shared" si="35"/>
        <v>84.678999999999988</v>
      </c>
      <c r="N34" s="115">
        <v>0.5</v>
      </c>
      <c r="O34" s="118">
        <f t="shared" si="36"/>
        <v>23.075909090909089</v>
      </c>
      <c r="P34" s="117">
        <v>1.5</v>
      </c>
      <c r="Q34" s="118">
        <f t="shared" si="37"/>
        <v>69.227727272727265</v>
      </c>
      <c r="R34" s="115">
        <v>1</v>
      </c>
      <c r="S34" s="118">
        <f t="shared" si="38"/>
        <v>44.63739130434783</v>
      </c>
      <c r="T34" s="117">
        <v>1</v>
      </c>
      <c r="U34" s="118">
        <f t="shared" si="39"/>
        <v>44.63739130434783</v>
      </c>
      <c r="V34" s="115"/>
      <c r="W34" s="118">
        <f t="shared" si="40"/>
        <v>0</v>
      </c>
      <c r="X34" s="117"/>
      <c r="Y34" s="118">
        <f t="shared" si="41"/>
        <v>0</v>
      </c>
      <c r="Z34" s="115"/>
      <c r="AA34" s="118">
        <f t="shared" si="42"/>
        <v>0</v>
      </c>
      <c r="AB34" s="117"/>
      <c r="AC34" s="118">
        <f t="shared" si="43"/>
        <v>0</v>
      </c>
      <c r="AD34" s="115"/>
      <c r="AE34" s="118">
        <f t="shared" si="44"/>
        <v>0</v>
      </c>
      <c r="AF34" s="117"/>
      <c r="AG34" s="118">
        <f t="shared" si="45"/>
        <v>0</v>
      </c>
      <c r="AH34" s="115"/>
      <c r="AI34" s="118">
        <f t="shared" si="46"/>
        <v>0</v>
      </c>
      <c r="AJ34" s="117"/>
      <c r="AK34" s="118">
        <f t="shared" si="47"/>
        <v>0</v>
      </c>
      <c r="AL34" s="115"/>
      <c r="AM34" s="118">
        <f t="shared" si="48"/>
        <v>0</v>
      </c>
      <c r="AN34" s="117"/>
      <c r="AO34" s="118">
        <f t="shared" si="49"/>
        <v>0</v>
      </c>
      <c r="AP34" s="115"/>
      <c r="AQ34" s="118">
        <f t="shared" si="50"/>
        <v>0</v>
      </c>
      <c r="AR34" s="117"/>
      <c r="AS34" s="118">
        <f t="shared" si="51"/>
        <v>0</v>
      </c>
      <c r="AT34" s="119">
        <v>0</v>
      </c>
      <c r="AU34" s="120">
        <f t="shared" si="52"/>
        <v>0</v>
      </c>
      <c r="AV34" s="121">
        <f>AV21</f>
        <v>0</v>
      </c>
      <c r="AW34" s="118">
        <f t="shared" si="53"/>
        <v>0</v>
      </c>
      <c r="AX34" s="122">
        <v>0</v>
      </c>
      <c r="AY34" s="123">
        <f t="shared" si="54"/>
        <v>0</v>
      </c>
      <c r="AZ34" s="118">
        <f t="shared" si="55"/>
        <v>0</v>
      </c>
      <c r="BA34" s="118">
        <f t="shared" si="56"/>
        <v>140.2953003952569</v>
      </c>
      <c r="BB34" s="118">
        <f t="shared" si="57"/>
        <v>153.77874357707509</v>
      </c>
      <c r="BC34" s="166">
        <f t="shared" si="58"/>
        <v>13.483443181818188</v>
      </c>
      <c r="BD34" s="124">
        <v>0.4</v>
      </c>
      <c r="BE34" s="125">
        <f>0.66667*BD34*BF35</f>
        <v>4.00002E-2</v>
      </c>
    </row>
    <row r="35" spans="2:59" ht="14.4" thickBot="1" x14ac:dyDescent="0.35">
      <c r="B35" s="337"/>
      <c r="C35" s="311"/>
      <c r="D35" s="340"/>
      <c r="E35" s="126" t="str">
        <f t="shared" si="59"/>
        <v>nein</v>
      </c>
      <c r="F35" s="127"/>
      <c r="G35" s="128">
        <v>0</v>
      </c>
      <c r="H35" s="129">
        <v>0</v>
      </c>
      <c r="I35" s="134">
        <f t="shared" si="33"/>
        <v>0</v>
      </c>
      <c r="J35" s="131"/>
      <c r="K35" s="134">
        <f t="shared" si="34"/>
        <v>0</v>
      </c>
      <c r="L35" s="133"/>
      <c r="M35" s="134">
        <f t="shared" si="35"/>
        <v>0</v>
      </c>
      <c r="N35" s="131">
        <v>1</v>
      </c>
      <c r="O35" s="134">
        <f t="shared" si="36"/>
        <v>46.151818181818179</v>
      </c>
      <c r="P35" s="133">
        <v>1.5</v>
      </c>
      <c r="Q35" s="134">
        <f t="shared" si="37"/>
        <v>69.227727272727265</v>
      </c>
      <c r="R35" s="131">
        <v>1</v>
      </c>
      <c r="S35" s="134">
        <f t="shared" si="38"/>
        <v>44.63739130434783</v>
      </c>
      <c r="T35" s="133">
        <v>1.5</v>
      </c>
      <c r="U35" s="134">
        <f t="shared" si="39"/>
        <v>66.956086956521744</v>
      </c>
      <c r="V35" s="131"/>
      <c r="W35" s="134">
        <f t="shared" si="40"/>
        <v>0</v>
      </c>
      <c r="X35" s="133"/>
      <c r="Y35" s="134">
        <f t="shared" si="41"/>
        <v>0</v>
      </c>
      <c r="Z35" s="131"/>
      <c r="AA35" s="134">
        <f t="shared" si="42"/>
        <v>0</v>
      </c>
      <c r="AB35" s="133"/>
      <c r="AC35" s="134">
        <f t="shared" si="43"/>
        <v>0</v>
      </c>
      <c r="AD35" s="131"/>
      <c r="AE35" s="134">
        <f t="shared" si="44"/>
        <v>0</v>
      </c>
      <c r="AF35" s="133"/>
      <c r="AG35" s="134">
        <f t="shared" si="45"/>
        <v>0</v>
      </c>
      <c r="AH35" s="131"/>
      <c r="AI35" s="134">
        <f t="shared" si="46"/>
        <v>0</v>
      </c>
      <c r="AJ35" s="133"/>
      <c r="AK35" s="134">
        <f t="shared" si="47"/>
        <v>0</v>
      </c>
      <c r="AL35" s="131"/>
      <c r="AM35" s="134">
        <f t="shared" si="48"/>
        <v>0</v>
      </c>
      <c r="AN35" s="133"/>
      <c r="AO35" s="134">
        <f t="shared" si="49"/>
        <v>0</v>
      </c>
      <c r="AP35" s="131"/>
      <c r="AQ35" s="134">
        <f t="shared" si="50"/>
        <v>0</v>
      </c>
      <c r="AR35" s="133"/>
      <c r="AS35" s="134">
        <f t="shared" si="51"/>
        <v>0</v>
      </c>
      <c r="AT35" s="135">
        <f>AT34</f>
        <v>0</v>
      </c>
      <c r="AU35" s="136">
        <f t="shared" si="52"/>
        <v>0</v>
      </c>
      <c r="AV35" s="137">
        <f>AV34</f>
        <v>0</v>
      </c>
      <c r="AW35" s="134">
        <f t="shared" si="53"/>
        <v>0</v>
      </c>
      <c r="AX35" s="138">
        <f>AX34</f>
        <v>0</v>
      </c>
      <c r="AY35" s="139">
        <f t="shared" si="54"/>
        <v>0</v>
      </c>
      <c r="AZ35" s="134">
        <f t="shared" si="55"/>
        <v>0</v>
      </c>
      <c r="BA35" s="134">
        <f t="shared" si="56"/>
        <v>90.789209486166015</v>
      </c>
      <c r="BB35" s="134">
        <f t="shared" si="57"/>
        <v>91.418439229249003</v>
      </c>
      <c r="BC35" s="130">
        <f t="shared" si="58"/>
        <v>0.62922974308298762</v>
      </c>
      <c r="BD35" s="108">
        <f>1-BD34</f>
        <v>0.6</v>
      </c>
      <c r="BE35" s="140">
        <f>BF35-BE34-BE22-BE21</f>
        <v>6.0000299999999993E-2</v>
      </c>
      <c r="BF35" s="167">
        <f>1-BF33-BF31-BF29-BF27</f>
        <v>0.15</v>
      </c>
      <c r="BG35" s="168"/>
    </row>
    <row r="36" spans="2:59" ht="13.8" x14ac:dyDescent="0.3">
      <c r="B36" s="337"/>
      <c r="C36" s="311"/>
      <c r="D36" s="343" t="s">
        <v>64</v>
      </c>
      <c r="E36" s="77" t="str">
        <f t="shared" si="59"/>
        <v>ja</v>
      </c>
      <c r="F36" s="141"/>
      <c r="G36" s="142"/>
      <c r="H36" s="143"/>
      <c r="I36" s="144"/>
      <c r="J36" s="145"/>
      <c r="K36" s="144"/>
      <c r="L36" s="146"/>
      <c r="M36" s="144"/>
      <c r="N36" s="145"/>
      <c r="O36" s="144"/>
      <c r="P36" s="146"/>
      <c r="Q36" s="144"/>
      <c r="R36" s="145"/>
      <c r="S36" s="144"/>
      <c r="T36" s="146"/>
      <c r="U36" s="144"/>
      <c r="V36" s="145"/>
      <c r="W36" s="144"/>
      <c r="X36" s="146"/>
      <c r="Y36" s="144"/>
      <c r="Z36" s="145"/>
      <c r="AA36" s="144"/>
      <c r="AB36" s="146"/>
      <c r="AC36" s="144"/>
      <c r="AD36" s="145"/>
      <c r="AE36" s="144"/>
      <c r="AF36" s="146"/>
      <c r="AG36" s="144"/>
      <c r="AH36" s="145"/>
      <c r="AI36" s="144"/>
      <c r="AJ36" s="146"/>
      <c r="AK36" s="144"/>
      <c r="AL36" s="145"/>
      <c r="AM36" s="144"/>
      <c r="AN36" s="146"/>
      <c r="AO36" s="144"/>
      <c r="AP36" s="145"/>
      <c r="AQ36" s="144"/>
      <c r="AR36" s="146"/>
      <c r="AS36" s="144"/>
      <c r="AT36" s="147"/>
      <c r="AU36" s="147"/>
      <c r="AV36" s="148"/>
      <c r="AW36" s="144"/>
      <c r="AX36" s="148"/>
      <c r="AY36" s="148"/>
      <c r="AZ36" s="144"/>
      <c r="BA36" s="144"/>
      <c r="BB36" s="149"/>
      <c r="BC36" s="164">
        <f>(BC26*BE26+BC28*BE28+BC30*BE30+BC32*BE32+BC34*BE34)/(BE26+BE28+BE30+BE32+BE34)</f>
        <v>22.436491616329629</v>
      </c>
      <c r="BD36" s="150"/>
      <c r="BE36" s="92">
        <f>BE26+BE28+BE30+BE32+BE34</f>
        <v>0.17450020350000001</v>
      </c>
    </row>
    <row r="37" spans="2:59" ht="14.4" thickBot="1" x14ac:dyDescent="0.35">
      <c r="B37" s="337"/>
      <c r="C37" s="311"/>
      <c r="D37" s="340"/>
      <c r="E37" s="126" t="str">
        <f t="shared" si="59"/>
        <v>nein</v>
      </c>
      <c r="F37" s="151"/>
      <c r="G37" s="152"/>
      <c r="H37" s="153"/>
      <c r="I37" s="74"/>
      <c r="J37" s="154"/>
      <c r="K37" s="74"/>
      <c r="L37" s="155"/>
      <c r="M37" s="74"/>
      <c r="N37" s="154"/>
      <c r="O37" s="74"/>
      <c r="P37" s="155"/>
      <c r="Q37" s="74"/>
      <c r="R37" s="154"/>
      <c r="S37" s="74"/>
      <c r="T37" s="155"/>
      <c r="U37" s="74"/>
      <c r="V37" s="154"/>
      <c r="W37" s="74"/>
      <c r="X37" s="155"/>
      <c r="Y37" s="74"/>
      <c r="Z37" s="154"/>
      <c r="AA37" s="74"/>
      <c r="AB37" s="155"/>
      <c r="AC37" s="74"/>
      <c r="AD37" s="154"/>
      <c r="AE37" s="74"/>
      <c r="AF37" s="155"/>
      <c r="AG37" s="74"/>
      <c r="AH37" s="154"/>
      <c r="AI37" s="74"/>
      <c r="AJ37" s="155"/>
      <c r="AK37" s="74"/>
      <c r="AL37" s="154"/>
      <c r="AM37" s="74"/>
      <c r="AN37" s="155"/>
      <c r="AO37" s="74"/>
      <c r="AP37" s="154"/>
      <c r="AQ37" s="74"/>
      <c r="AR37" s="155"/>
      <c r="AS37" s="74"/>
      <c r="AT37" s="156"/>
      <c r="AU37" s="156"/>
      <c r="AV37" s="157"/>
      <c r="AW37" s="74"/>
      <c r="AX37" s="157"/>
      <c r="AY37" s="157"/>
      <c r="AZ37" s="74"/>
      <c r="BA37" s="74"/>
      <c r="BB37" s="75"/>
      <c r="BC37" s="169">
        <f>(BC27*BE27+BC29*BE29+BC31*BE31+BC33*BE33+BC35*BE35)/(BE27+BE29+BE31+BE33+BE35)</f>
        <v>6.0791292561091392</v>
      </c>
      <c r="BD37" s="158"/>
      <c r="BE37" s="140">
        <f>BE27+BE29+BE31+BE33+BE35</f>
        <v>0.13300034649999998</v>
      </c>
    </row>
    <row r="38" spans="2:59" ht="14.4" thickBot="1" x14ac:dyDescent="0.35">
      <c r="B38" s="337"/>
      <c r="C38" s="312"/>
      <c r="D38" s="344"/>
      <c r="E38" s="159" t="s">
        <v>65</v>
      </c>
      <c r="F38" s="17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71"/>
      <c r="BC38" s="172">
        <f>(BC36*BE36+BC37*BE37)/(BE36+BE37)</f>
        <v>15.361594151153119</v>
      </c>
      <c r="BD38" s="162"/>
      <c r="BE38" s="163">
        <f>BE36+BE37</f>
        <v>0.30750054999999998</v>
      </c>
    </row>
    <row r="39" spans="2:59" ht="16.2" thickBot="1" x14ac:dyDescent="0.35">
      <c r="B39" s="173" t="s">
        <v>66</v>
      </c>
      <c r="C39" s="174"/>
      <c r="D39" s="174"/>
      <c r="E39" s="175"/>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6"/>
      <c r="BC39" s="177">
        <f>BC25*(BE25)+BC38*(BE38)</f>
        <v>60.145192264620313</v>
      </c>
      <c r="BD39" s="178"/>
      <c r="BE39" s="179"/>
    </row>
    <row r="40" spans="2:59" s="182" customFormat="1" ht="13.8" x14ac:dyDescent="0.3">
      <c r="B40" s="336" t="s">
        <v>58</v>
      </c>
      <c r="C40" s="331" t="s">
        <v>57</v>
      </c>
      <c r="D40" s="313" t="s">
        <v>56</v>
      </c>
      <c r="E40" s="77" t="str">
        <f>E34</f>
        <v>ja</v>
      </c>
      <c r="F40" s="78"/>
      <c r="G40" s="79">
        <v>0</v>
      </c>
      <c r="H40" s="80">
        <v>0</v>
      </c>
      <c r="I40" s="90">
        <f t="shared" ref="I40:I51" si="60">IF(G40=0,0,G40*H40+$H$5+$H$6)</f>
        <v>0</v>
      </c>
      <c r="J40" s="82">
        <v>0.1</v>
      </c>
      <c r="K40" s="90">
        <f t="shared" ref="K40:K51" si="61">J40*(J$10*$C$6+L$10)</f>
        <v>12.097000000000001</v>
      </c>
      <c r="L40" s="180">
        <v>0.1</v>
      </c>
      <c r="M40" s="90">
        <f t="shared" ref="M40:M51" si="62">L40*(J$10*$C$6+L$10)</f>
        <v>12.097000000000001</v>
      </c>
      <c r="N40" s="82">
        <v>0.9</v>
      </c>
      <c r="O40" s="90">
        <f t="shared" ref="O40:O51" si="63">N40*(N$10*$C$6+P$10)</f>
        <v>41.536636363636362</v>
      </c>
      <c r="P40" s="180">
        <v>2.5</v>
      </c>
      <c r="Q40" s="90">
        <f t="shared" ref="Q40:Q51" si="64">P40*(N$10*$C$6+P$10)</f>
        <v>115.37954545454545</v>
      </c>
      <c r="R40" s="82">
        <v>1</v>
      </c>
      <c r="S40" s="90">
        <f t="shared" ref="S40:S51" si="65">R40*(R$10*$C$6+T$10)</f>
        <v>44.63739130434783</v>
      </c>
      <c r="T40" s="180">
        <v>1.5</v>
      </c>
      <c r="U40" s="90">
        <f t="shared" ref="U40:U51" si="66">T40*(R$10*$C$6+T$10)</f>
        <v>66.956086956521744</v>
      </c>
      <c r="V40" s="82"/>
      <c r="W40" s="90">
        <f t="shared" ref="W40:W51" si="67">V40*(V$10*$C$6+X$10)</f>
        <v>0</v>
      </c>
      <c r="X40" s="180"/>
      <c r="Y40" s="90">
        <f t="shared" ref="Y40:Y51" si="68">X40*(V$10*$C$6+X$10)</f>
        <v>0</v>
      </c>
      <c r="Z40" s="82">
        <v>0.4</v>
      </c>
      <c r="AA40" s="90">
        <f t="shared" ref="AA40:AA51" si="69">Z40*(Z$10*$C$6+AB$10)</f>
        <v>18.696190476190477</v>
      </c>
      <c r="AB40" s="180">
        <v>1</v>
      </c>
      <c r="AC40" s="90">
        <f t="shared" ref="AC40:AC51" si="70">AB40*(Z$10*$C$6+AB$10)</f>
        <v>46.740476190476187</v>
      </c>
      <c r="AD40" s="82"/>
      <c r="AE40" s="90">
        <f t="shared" ref="AE40:AE51" si="71">AD40*(AD$10*$C$6+AF$10)</f>
        <v>0</v>
      </c>
      <c r="AF40" s="180"/>
      <c r="AG40" s="90">
        <f t="shared" ref="AG40:AG51" si="72">AF40*(AD$10*$C$6+AF$10)</f>
        <v>0</v>
      </c>
      <c r="AH40" s="82"/>
      <c r="AI40" s="90">
        <f t="shared" ref="AI40:AI51" si="73">AH40*(AH$10*$C$6+AJ$10)</f>
        <v>0</v>
      </c>
      <c r="AJ40" s="180"/>
      <c r="AK40" s="90">
        <f t="shared" ref="AK40:AK51" si="74">AJ40*(AH$10*$C$6+AJ$10)</f>
        <v>0</v>
      </c>
      <c r="AL40" s="82"/>
      <c r="AM40" s="90">
        <f t="shared" ref="AM40:AM51" si="75">AL40*(AL$10*$C$6+AN$10)</f>
        <v>0</v>
      </c>
      <c r="AN40" s="180"/>
      <c r="AO40" s="90">
        <f t="shared" ref="AO40:AO51" si="76">AN40*(AL$10*$C$6+AN$10)</f>
        <v>0</v>
      </c>
      <c r="AP40" s="82"/>
      <c r="AQ40" s="90">
        <f t="shared" ref="AQ40:AQ51" si="77">AP40*(AP$10*$C$6+AR$10)</f>
        <v>0</v>
      </c>
      <c r="AR40" s="180"/>
      <c r="AS40" s="90">
        <f t="shared" ref="AS40:AS51" si="78">AR40*(AP$10*$C$6+AR$10)</f>
        <v>0</v>
      </c>
      <c r="AT40" s="85">
        <v>0</v>
      </c>
      <c r="AU40" s="86">
        <f>AT40*0.9</f>
        <v>0</v>
      </c>
      <c r="AV40" s="87">
        <v>1.0000000000000001E-5</v>
      </c>
      <c r="AW40" s="90">
        <f t="shared" ref="AW40:AW51" si="79">AV40*(AT40-AU40)</f>
        <v>0</v>
      </c>
      <c r="AX40" s="88">
        <v>0</v>
      </c>
      <c r="AY40" s="89">
        <f t="shared" ref="AY40:AY51" si="80">AV40-AX40</f>
        <v>1.0000000000000001E-5</v>
      </c>
      <c r="AZ40" s="90">
        <f>(AV40-AY40)*AU40</f>
        <v>0</v>
      </c>
      <c r="BA40" s="90">
        <f t="shared" ref="BA40:BA51" si="81">IF(SUM(AO40+AD40+Z40+V40+R40+N40+J40)=0,0,K40+O40+S40+W40+AA40+AE40+AH40+AL40+AP40+AX40)</f>
        <v>116.96721814417467</v>
      </c>
      <c r="BB40" s="90">
        <f t="shared" ref="BB40:BB51" si="82">IF(SUM(AR40+AF40+AB40+X40+T40+P40+L40)=0,0,I40+M40+Q40+U40+Y40+AC40+AG40+AK40+AO40+AS40+AW40+AZ40-$H$8)</f>
        <v>196.40773360154338</v>
      </c>
      <c r="BC40" s="90">
        <f t="shared" ref="BC40:BC51" si="83">IF(BB40-BA40&gt;0,BB40-BA40,0)</f>
        <v>79.440515457368718</v>
      </c>
      <c r="BD40" s="181">
        <v>0.6</v>
      </c>
      <c r="BE40" s="92">
        <f>BF56*0.6*BD40</f>
        <v>7.1999999999999995E-2</v>
      </c>
    </row>
    <row r="41" spans="2:59" s="182" customFormat="1" ht="13.8" x14ac:dyDescent="0.3">
      <c r="B41" s="337"/>
      <c r="C41" s="332"/>
      <c r="D41" s="314"/>
      <c r="E41" s="94" t="str">
        <f>E22</f>
        <v>nein</v>
      </c>
      <c r="F41" s="95"/>
      <c r="G41" s="96">
        <v>0</v>
      </c>
      <c r="H41" s="97">
        <v>0</v>
      </c>
      <c r="I41" s="107">
        <f t="shared" si="60"/>
        <v>0</v>
      </c>
      <c r="J41" s="99">
        <v>0</v>
      </c>
      <c r="K41" s="107">
        <f t="shared" si="61"/>
        <v>0</v>
      </c>
      <c r="L41" s="101">
        <v>0</v>
      </c>
      <c r="M41" s="107">
        <f t="shared" si="62"/>
        <v>0</v>
      </c>
      <c r="N41" s="99">
        <v>1</v>
      </c>
      <c r="O41" s="107">
        <f t="shared" si="63"/>
        <v>46.151818181818179</v>
      </c>
      <c r="P41" s="101">
        <v>2</v>
      </c>
      <c r="Q41" s="107">
        <f t="shared" si="64"/>
        <v>92.303636363636357</v>
      </c>
      <c r="R41" s="99">
        <v>1</v>
      </c>
      <c r="S41" s="107">
        <f t="shared" si="65"/>
        <v>44.63739130434783</v>
      </c>
      <c r="T41" s="101">
        <v>2</v>
      </c>
      <c r="U41" s="107">
        <f t="shared" si="66"/>
        <v>89.274782608695659</v>
      </c>
      <c r="V41" s="99"/>
      <c r="W41" s="107">
        <f t="shared" si="67"/>
        <v>0</v>
      </c>
      <c r="X41" s="101"/>
      <c r="Y41" s="107">
        <f t="shared" si="68"/>
        <v>0</v>
      </c>
      <c r="Z41" s="99">
        <v>0.5</v>
      </c>
      <c r="AA41" s="107">
        <f t="shared" si="69"/>
        <v>23.370238095238093</v>
      </c>
      <c r="AB41" s="101">
        <v>1</v>
      </c>
      <c r="AC41" s="107">
        <f t="shared" si="70"/>
        <v>46.740476190476187</v>
      </c>
      <c r="AD41" s="99"/>
      <c r="AE41" s="107">
        <f t="shared" si="71"/>
        <v>0</v>
      </c>
      <c r="AF41" s="101"/>
      <c r="AG41" s="107">
        <f t="shared" si="72"/>
        <v>0</v>
      </c>
      <c r="AH41" s="99"/>
      <c r="AI41" s="107">
        <f t="shared" si="73"/>
        <v>0</v>
      </c>
      <c r="AJ41" s="101"/>
      <c r="AK41" s="107">
        <f t="shared" si="74"/>
        <v>0</v>
      </c>
      <c r="AL41" s="99"/>
      <c r="AM41" s="107">
        <f t="shared" si="75"/>
        <v>0</v>
      </c>
      <c r="AN41" s="101"/>
      <c r="AO41" s="107">
        <f t="shared" si="76"/>
        <v>0</v>
      </c>
      <c r="AP41" s="99"/>
      <c r="AQ41" s="107">
        <f t="shared" si="77"/>
        <v>0</v>
      </c>
      <c r="AR41" s="101"/>
      <c r="AS41" s="107">
        <f t="shared" si="78"/>
        <v>0</v>
      </c>
      <c r="AT41" s="102">
        <f>AT40</f>
        <v>0</v>
      </c>
      <c r="AU41" s="103">
        <f t="shared" ref="AU41" si="84">AT41*0.9</f>
        <v>0</v>
      </c>
      <c r="AV41" s="104">
        <f>AV40</f>
        <v>1.0000000000000001E-5</v>
      </c>
      <c r="AW41" s="107">
        <f t="shared" si="79"/>
        <v>0</v>
      </c>
      <c r="AX41" s="105">
        <f>AX40</f>
        <v>0</v>
      </c>
      <c r="AY41" s="106">
        <f t="shared" si="80"/>
        <v>1.0000000000000001E-5</v>
      </c>
      <c r="AZ41" s="107">
        <f t="shared" ref="AZ41" si="85">(AV41-AY41)*AU41</f>
        <v>0</v>
      </c>
      <c r="BA41" s="107">
        <f t="shared" si="81"/>
        <v>114.15944758140411</v>
      </c>
      <c r="BB41" s="107">
        <f t="shared" si="82"/>
        <v>183.55352016280821</v>
      </c>
      <c r="BC41" s="107">
        <f t="shared" si="83"/>
        <v>69.394072581404103</v>
      </c>
      <c r="BD41" s="183">
        <v>0.4</v>
      </c>
      <c r="BE41" s="109">
        <f>0.6*BD41*BF56</f>
        <v>4.8000000000000001E-2</v>
      </c>
    </row>
    <row r="42" spans="2:59" ht="13.8" x14ac:dyDescent="0.3">
      <c r="B42" s="337"/>
      <c r="C42" s="332"/>
      <c r="D42" s="315" t="s">
        <v>58</v>
      </c>
      <c r="E42" s="110" t="str">
        <f t="shared" ref="E42:E51" si="86">E26</f>
        <v>ja</v>
      </c>
      <c r="F42" s="111"/>
      <c r="G42" s="112">
        <v>0</v>
      </c>
      <c r="H42" s="113">
        <v>0</v>
      </c>
      <c r="I42" s="118">
        <f t="shared" si="60"/>
        <v>0</v>
      </c>
      <c r="J42" s="115">
        <v>0.6</v>
      </c>
      <c r="K42" s="118">
        <f t="shared" si="61"/>
        <v>72.581999999999994</v>
      </c>
      <c r="L42" s="117">
        <v>0.8</v>
      </c>
      <c r="M42" s="118">
        <f t="shared" si="62"/>
        <v>96.77600000000001</v>
      </c>
      <c r="N42" s="115">
        <v>0.4</v>
      </c>
      <c r="O42" s="118">
        <f t="shared" si="63"/>
        <v>18.460727272727272</v>
      </c>
      <c r="P42" s="117">
        <v>1.5</v>
      </c>
      <c r="Q42" s="118">
        <f t="shared" si="64"/>
        <v>69.227727272727265</v>
      </c>
      <c r="R42" s="115">
        <v>1</v>
      </c>
      <c r="S42" s="118">
        <f t="shared" si="65"/>
        <v>44.63739130434783</v>
      </c>
      <c r="T42" s="117">
        <v>1.5</v>
      </c>
      <c r="U42" s="118">
        <f t="shared" si="66"/>
        <v>66.956086956521744</v>
      </c>
      <c r="V42" s="115"/>
      <c r="W42" s="118">
        <f t="shared" si="67"/>
        <v>0</v>
      </c>
      <c r="X42" s="117"/>
      <c r="Y42" s="118">
        <f t="shared" si="68"/>
        <v>0</v>
      </c>
      <c r="Z42" s="115">
        <v>1.3</v>
      </c>
      <c r="AA42" s="118">
        <f t="shared" si="69"/>
        <v>60.762619047619047</v>
      </c>
      <c r="AB42" s="117">
        <v>2</v>
      </c>
      <c r="AC42" s="118">
        <f t="shared" si="70"/>
        <v>93.480952380952374</v>
      </c>
      <c r="AD42" s="115"/>
      <c r="AE42" s="118">
        <f t="shared" si="71"/>
        <v>0</v>
      </c>
      <c r="AF42" s="117"/>
      <c r="AG42" s="118">
        <f t="shared" si="72"/>
        <v>0</v>
      </c>
      <c r="AH42" s="115"/>
      <c r="AI42" s="118">
        <f t="shared" si="73"/>
        <v>0</v>
      </c>
      <c r="AJ42" s="117"/>
      <c r="AK42" s="118">
        <f t="shared" si="74"/>
        <v>0</v>
      </c>
      <c r="AL42" s="115"/>
      <c r="AM42" s="118">
        <f t="shared" si="75"/>
        <v>0</v>
      </c>
      <c r="AN42" s="117"/>
      <c r="AO42" s="118">
        <f t="shared" si="76"/>
        <v>0</v>
      </c>
      <c r="AP42" s="115"/>
      <c r="AQ42" s="118">
        <f t="shared" si="77"/>
        <v>0</v>
      </c>
      <c r="AR42" s="117"/>
      <c r="AS42" s="118">
        <f t="shared" si="78"/>
        <v>0</v>
      </c>
      <c r="AT42" s="119">
        <v>0</v>
      </c>
      <c r="AU42" s="120">
        <f>AT42*0.9</f>
        <v>0</v>
      </c>
      <c r="AV42" s="121">
        <f>AV40</f>
        <v>1.0000000000000001E-5</v>
      </c>
      <c r="AW42" s="118">
        <f t="shared" si="79"/>
        <v>0</v>
      </c>
      <c r="AX42" s="122">
        <v>0</v>
      </c>
      <c r="AY42" s="123">
        <f t="shared" si="80"/>
        <v>1.0000000000000001E-5</v>
      </c>
      <c r="AZ42" s="118">
        <f>(AV42-AY42)*AU42</f>
        <v>0</v>
      </c>
      <c r="BA42" s="118">
        <f t="shared" si="81"/>
        <v>196.44273762469413</v>
      </c>
      <c r="BB42" s="118">
        <f t="shared" si="82"/>
        <v>281.67539161020142</v>
      </c>
      <c r="BC42" s="166">
        <f t="shared" si="83"/>
        <v>85.232653985507284</v>
      </c>
      <c r="BD42" s="184">
        <v>0.7</v>
      </c>
      <c r="BE42" s="125">
        <f>0.666667*BD42*BF58</f>
        <v>0.14000007</v>
      </c>
    </row>
    <row r="43" spans="2:59" ht="13.8" x14ac:dyDescent="0.3">
      <c r="B43" s="337"/>
      <c r="C43" s="332"/>
      <c r="D43" s="314"/>
      <c r="E43" s="94" t="str">
        <f t="shared" si="86"/>
        <v>nein</v>
      </c>
      <c r="F43" s="95"/>
      <c r="G43" s="96">
        <v>0</v>
      </c>
      <c r="H43" s="97">
        <v>0</v>
      </c>
      <c r="I43" s="98">
        <f t="shared" si="60"/>
        <v>0</v>
      </c>
      <c r="J43" s="99"/>
      <c r="K43" s="98">
        <f t="shared" si="61"/>
        <v>0</v>
      </c>
      <c r="L43" s="101"/>
      <c r="M43" s="98">
        <f t="shared" si="62"/>
        <v>0</v>
      </c>
      <c r="N43" s="99">
        <v>1</v>
      </c>
      <c r="O43" s="98">
        <f t="shared" si="63"/>
        <v>46.151818181818179</v>
      </c>
      <c r="P43" s="101">
        <v>2.5</v>
      </c>
      <c r="Q43" s="98">
        <f t="shared" si="64"/>
        <v>115.37954545454545</v>
      </c>
      <c r="R43" s="99">
        <v>1</v>
      </c>
      <c r="S43" s="98">
        <f t="shared" si="65"/>
        <v>44.63739130434783</v>
      </c>
      <c r="T43" s="101">
        <v>1.5</v>
      </c>
      <c r="U43" s="98">
        <f t="shared" si="66"/>
        <v>66.956086956521744</v>
      </c>
      <c r="V43" s="99"/>
      <c r="W43" s="98">
        <f t="shared" si="67"/>
        <v>0</v>
      </c>
      <c r="X43" s="101"/>
      <c r="Y43" s="98">
        <f t="shared" si="68"/>
        <v>0</v>
      </c>
      <c r="Z43" s="99">
        <v>1.5</v>
      </c>
      <c r="AA43" s="98">
        <f t="shared" si="69"/>
        <v>70.11071428571428</v>
      </c>
      <c r="AB43" s="101">
        <v>2</v>
      </c>
      <c r="AC43" s="98">
        <f t="shared" si="70"/>
        <v>93.480952380952374</v>
      </c>
      <c r="AD43" s="99"/>
      <c r="AE43" s="98">
        <f t="shared" si="71"/>
        <v>0</v>
      </c>
      <c r="AF43" s="101"/>
      <c r="AG43" s="98">
        <f t="shared" si="72"/>
        <v>0</v>
      </c>
      <c r="AH43" s="99"/>
      <c r="AI43" s="98">
        <f t="shared" si="73"/>
        <v>0</v>
      </c>
      <c r="AJ43" s="101"/>
      <c r="AK43" s="98">
        <f t="shared" si="74"/>
        <v>0</v>
      </c>
      <c r="AL43" s="99"/>
      <c r="AM43" s="98">
        <f t="shared" si="75"/>
        <v>0</v>
      </c>
      <c r="AN43" s="101"/>
      <c r="AO43" s="98">
        <f t="shared" si="76"/>
        <v>0</v>
      </c>
      <c r="AP43" s="99"/>
      <c r="AQ43" s="98">
        <f t="shared" si="77"/>
        <v>0</v>
      </c>
      <c r="AR43" s="101"/>
      <c r="AS43" s="98">
        <f t="shared" si="78"/>
        <v>0</v>
      </c>
      <c r="AT43" s="102">
        <f>AT42</f>
        <v>0</v>
      </c>
      <c r="AU43" s="103">
        <f t="shared" ref="AU43" si="87">AT43*0.9</f>
        <v>0</v>
      </c>
      <c r="AV43" s="104">
        <f>AV42</f>
        <v>1.0000000000000001E-5</v>
      </c>
      <c r="AW43" s="98">
        <f t="shared" si="79"/>
        <v>0</v>
      </c>
      <c r="AX43" s="105">
        <f>AX42</f>
        <v>0</v>
      </c>
      <c r="AY43" s="106">
        <f t="shared" si="80"/>
        <v>1.0000000000000001E-5</v>
      </c>
      <c r="AZ43" s="98">
        <f t="shared" ref="AZ43" si="88">(AV43-AY43)*AU43</f>
        <v>0</v>
      </c>
      <c r="BA43" s="98">
        <f t="shared" si="81"/>
        <v>160.89992377188031</v>
      </c>
      <c r="BB43" s="98">
        <f t="shared" si="82"/>
        <v>231.05120979201956</v>
      </c>
      <c r="BC43" s="107">
        <f t="shared" si="83"/>
        <v>70.151286020139253</v>
      </c>
      <c r="BD43" s="183">
        <v>0.3</v>
      </c>
      <c r="BE43" s="109">
        <f>0.66667*BD43*BF58</f>
        <v>6.0000299999999993E-2</v>
      </c>
    </row>
    <row r="44" spans="2:59" ht="13.8" x14ac:dyDescent="0.3">
      <c r="B44" s="337"/>
      <c r="C44" s="332"/>
      <c r="D44" s="322" t="s">
        <v>60</v>
      </c>
      <c r="E44" s="110" t="str">
        <f t="shared" si="86"/>
        <v>ja</v>
      </c>
      <c r="F44" s="111"/>
      <c r="G44" s="112">
        <v>0</v>
      </c>
      <c r="H44" s="113">
        <v>0</v>
      </c>
      <c r="I44" s="118">
        <f t="shared" si="60"/>
        <v>0</v>
      </c>
      <c r="J44" s="115">
        <v>0.6</v>
      </c>
      <c r="K44" s="118">
        <f t="shared" si="61"/>
        <v>72.581999999999994</v>
      </c>
      <c r="L44" s="117">
        <v>0.8</v>
      </c>
      <c r="M44" s="118">
        <f t="shared" si="62"/>
        <v>96.77600000000001</v>
      </c>
      <c r="N44" s="115">
        <v>0.4</v>
      </c>
      <c r="O44" s="118">
        <f t="shared" si="63"/>
        <v>18.460727272727272</v>
      </c>
      <c r="P44" s="117">
        <v>1.5</v>
      </c>
      <c r="Q44" s="118">
        <f t="shared" si="64"/>
        <v>69.227727272727265</v>
      </c>
      <c r="R44" s="115">
        <v>1</v>
      </c>
      <c r="S44" s="118">
        <f t="shared" si="65"/>
        <v>44.63739130434783</v>
      </c>
      <c r="T44" s="117">
        <v>1</v>
      </c>
      <c r="U44" s="118">
        <f t="shared" si="66"/>
        <v>44.63739130434783</v>
      </c>
      <c r="V44" s="115"/>
      <c r="W44" s="118">
        <f t="shared" si="67"/>
        <v>0</v>
      </c>
      <c r="X44" s="117"/>
      <c r="Y44" s="118">
        <f t="shared" si="68"/>
        <v>0</v>
      </c>
      <c r="Z44" s="115">
        <v>0.3</v>
      </c>
      <c r="AA44" s="118">
        <f t="shared" si="69"/>
        <v>14.022142857142855</v>
      </c>
      <c r="AB44" s="117">
        <v>1</v>
      </c>
      <c r="AC44" s="118">
        <f t="shared" si="70"/>
        <v>46.740476190476187</v>
      </c>
      <c r="AD44" s="115"/>
      <c r="AE44" s="118">
        <f t="shared" si="71"/>
        <v>0</v>
      </c>
      <c r="AF44" s="117"/>
      <c r="AG44" s="118">
        <f t="shared" si="72"/>
        <v>0</v>
      </c>
      <c r="AH44" s="115"/>
      <c r="AI44" s="118">
        <f t="shared" si="73"/>
        <v>0</v>
      </c>
      <c r="AJ44" s="117"/>
      <c r="AK44" s="118">
        <f t="shared" si="74"/>
        <v>0</v>
      </c>
      <c r="AL44" s="115"/>
      <c r="AM44" s="118">
        <f t="shared" si="75"/>
        <v>0</v>
      </c>
      <c r="AN44" s="117"/>
      <c r="AO44" s="118">
        <f t="shared" si="76"/>
        <v>0</v>
      </c>
      <c r="AP44" s="115"/>
      <c r="AQ44" s="118">
        <f t="shared" si="77"/>
        <v>0</v>
      </c>
      <c r="AR44" s="117"/>
      <c r="AS44" s="118">
        <f t="shared" si="78"/>
        <v>0</v>
      </c>
      <c r="AT44" s="119">
        <v>0</v>
      </c>
      <c r="AU44" s="120">
        <f>AT44*0.9</f>
        <v>0</v>
      </c>
      <c r="AV44" s="121">
        <f>AV42</f>
        <v>1.0000000000000001E-5</v>
      </c>
      <c r="AW44" s="118">
        <f t="shared" si="79"/>
        <v>0</v>
      </c>
      <c r="AX44" s="122">
        <v>0</v>
      </c>
      <c r="AY44" s="123">
        <f t="shared" si="80"/>
        <v>1.0000000000000001E-5</v>
      </c>
      <c r="AZ44" s="118">
        <f>(AV44-AY44)*AU44</f>
        <v>0</v>
      </c>
      <c r="BA44" s="118">
        <f t="shared" si="81"/>
        <v>149.70226143421795</v>
      </c>
      <c r="BB44" s="118">
        <f t="shared" si="82"/>
        <v>212.61621976755129</v>
      </c>
      <c r="BC44" s="166">
        <f t="shared" si="83"/>
        <v>62.913958333333341</v>
      </c>
      <c r="BD44" s="184">
        <v>0.6</v>
      </c>
      <c r="BE44" s="125">
        <f>0.7*BD44*BF60</f>
        <v>4.2000000000000003E-2</v>
      </c>
    </row>
    <row r="45" spans="2:59" ht="13.8" x14ac:dyDescent="0.3">
      <c r="B45" s="337"/>
      <c r="C45" s="332"/>
      <c r="D45" s="323"/>
      <c r="E45" s="94" t="str">
        <f t="shared" si="86"/>
        <v>nein</v>
      </c>
      <c r="F45" s="95"/>
      <c r="G45" s="96">
        <v>0</v>
      </c>
      <c r="H45" s="97">
        <v>0</v>
      </c>
      <c r="I45" s="98">
        <f t="shared" si="60"/>
        <v>0</v>
      </c>
      <c r="J45" s="99"/>
      <c r="K45" s="98">
        <f t="shared" si="61"/>
        <v>0</v>
      </c>
      <c r="L45" s="101"/>
      <c r="M45" s="98">
        <f t="shared" si="62"/>
        <v>0</v>
      </c>
      <c r="N45" s="99">
        <v>1</v>
      </c>
      <c r="O45" s="98">
        <f t="shared" si="63"/>
        <v>46.151818181818179</v>
      </c>
      <c r="P45" s="101">
        <v>2.5</v>
      </c>
      <c r="Q45" s="98">
        <f t="shared" si="64"/>
        <v>115.37954545454545</v>
      </c>
      <c r="R45" s="99">
        <v>1</v>
      </c>
      <c r="S45" s="98">
        <f t="shared" si="65"/>
        <v>44.63739130434783</v>
      </c>
      <c r="T45" s="101">
        <v>1.5</v>
      </c>
      <c r="U45" s="98">
        <f t="shared" si="66"/>
        <v>66.956086956521744</v>
      </c>
      <c r="V45" s="99"/>
      <c r="W45" s="98">
        <f t="shared" si="67"/>
        <v>0</v>
      </c>
      <c r="X45" s="101"/>
      <c r="Y45" s="98">
        <f t="shared" si="68"/>
        <v>0</v>
      </c>
      <c r="Z45" s="99">
        <v>0.5</v>
      </c>
      <c r="AA45" s="98">
        <f t="shared" si="69"/>
        <v>23.370238095238093</v>
      </c>
      <c r="AB45" s="101">
        <v>1</v>
      </c>
      <c r="AC45" s="98">
        <f t="shared" si="70"/>
        <v>46.740476190476187</v>
      </c>
      <c r="AD45" s="99"/>
      <c r="AE45" s="98">
        <f t="shared" si="71"/>
        <v>0</v>
      </c>
      <c r="AF45" s="101"/>
      <c r="AG45" s="98">
        <f t="shared" si="72"/>
        <v>0</v>
      </c>
      <c r="AH45" s="99"/>
      <c r="AI45" s="98">
        <f t="shared" si="73"/>
        <v>0</v>
      </c>
      <c r="AJ45" s="101"/>
      <c r="AK45" s="98">
        <f t="shared" si="74"/>
        <v>0</v>
      </c>
      <c r="AL45" s="99"/>
      <c r="AM45" s="98">
        <f t="shared" si="75"/>
        <v>0</v>
      </c>
      <c r="AN45" s="101"/>
      <c r="AO45" s="98">
        <f t="shared" si="76"/>
        <v>0</v>
      </c>
      <c r="AP45" s="99"/>
      <c r="AQ45" s="98">
        <f t="shared" si="77"/>
        <v>0</v>
      </c>
      <c r="AR45" s="101"/>
      <c r="AS45" s="98">
        <f t="shared" si="78"/>
        <v>0</v>
      </c>
      <c r="AT45" s="102">
        <f>AT44</f>
        <v>0</v>
      </c>
      <c r="AU45" s="103">
        <f t="shared" ref="AU45" si="89">AT45*0.9</f>
        <v>0</v>
      </c>
      <c r="AV45" s="104">
        <f>AV44</f>
        <v>1.0000000000000001E-5</v>
      </c>
      <c r="AW45" s="98">
        <f t="shared" si="79"/>
        <v>0</v>
      </c>
      <c r="AX45" s="105">
        <f>AX44</f>
        <v>0</v>
      </c>
      <c r="AY45" s="106">
        <f t="shared" si="80"/>
        <v>1.0000000000000001E-5</v>
      </c>
      <c r="AZ45" s="98">
        <f t="shared" ref="AZ45" si="90">(AV45-AY45)*AU45</f>
        <v>0</v>
      </c>
      <c r="BA45" s="98">
        <f t="shared" si="81"/>
        <v>114.15944758140411</v>
      </c>
      <c r="BB45" s="98">
        <f t="shared" si="82"/>
        <v>184.31073360154338</v>
      </c>
      <c r="BC45" s="107">
        <f t="shared" si="83"/>
        <v>70.151286020139267</v>
      </c>
      <c r="BD45" s="183">
        <v>0.4</v>
      </c>
      <c r="BE45" s="109">
        <f>0.7*BD45*BF60</f>
        <v>2.7999999999999997E-2</v>
      </c>
    </row>
    <row r="46" spans="2:59" s="186" customFormat="1" ht="13.8" x14ac:dyDescent="0.3">
      <c r="B46" s="337"/>
      <c r="C46" s="332"/>
      <c r="D46" s="324" t="s">
        <v>61</v>
      </c>
      <c r="E46" s="110" t="str">
        <f t="shared" si="86"/>
        <v>ja</v>
      </c>
      <c r="F46" s="111"/>
      <c r="G46" s="112">
        <v>0</v>
      </c>
      <c r="H46" s="113">
        <v>0</v>
      </c>
      <c r="I46" s="118">
        <f t="shared" si="60"/>
        <v>0</v>
      </c>
      <c r="J46" s="115">
        <v>0.6</v>
      </c>
      <c r="K46" s="118">
        <f t="shared" si="61"/>
        <v>72.581999999999994</v>
      </c>
      <c r="L46" s="117">
        <v>0.8</v>
      </c>
      <c r="M46" s="118">
        <f t="shared" si="62"/>
        <v>96.77600000000001</v>
      </c>
      <c r="N46" s="115">
        <v>0.4</v>
      </c>
      <c r="O46" s="118">
        <f t="shared" si="63"/>
        <v>18.460727272727272</v>
      </c>
      <c r="P46" s="117">
        <v>1.5</v>
      </c>
      <c r="Q46" s="118">
        <f t="shared" si="64"/>
        <v>69.227727272727265</v>
      </c>
      <c r="R46" s="115">
        <v>1</v>
      </c>
      <c r="S46" s="118">
        <f t="shared" si="65"/>
        <v>44.63739130434783</v>
      </c>
      <c r="T46" s="117">
        <v>1</v>
      </c>
      <c r="U46" s="118">
        <f t="shared" si="66"/>
        <v>44.63739130434783</v>
      </c>
      <c r="V46" s="115"/>
      <c r="W46" s="118">
        <f t="shared" si="67"/>
        <v>0</v>
      </c>
      <c r="X46" s="117"/>
      <c r="Y46" s="118">
        <f t="shared" si="68"/>
        <v>0</v>
      </c>
      <c r="Z46" s="115">
        <v>0.3</v>
      </c>
      <c r="AA46" s="118">
        <f t="shared" si="69"/>
        <v>14.022142857142855</v>
      </c>
      <c r="AB46" s="117">
        <v>1</v>
      </c>
      <c r="AC46" s="118">
        <f t="shared" si="70"/>
        <v>46.740476190476187</v>
      </c>
      <c r="AD46" s="115"/>
      <c r="AE46" s="118">
        <f t="shared" si="71"/>
        <v>0</v>
      </c>
      <c r="AF46" s="117"/>
      <c r="AG46" s="118">
        <f t="shared" si="72"/>
        <v>0</v>
      </c>
      <c r="AH46" s="115"/>
      <c r="AI46" s="118">
        <f t="shared" si="73"/>
        <v>0</v>
      </c>
      <c r="AJ46" s="117"/>
      <c r="AK46" s="118">
        <f t="shared" si="74"/>
        <v>0</v>
      </c>
      <c r="AL46" s="115"/>
      <c r="AM46" s="118">
        <f t="shared" si="75"/>
        <v>0</v>
      </c>
      <c r="AN46" s="117"/>
      <c r="AO46" s="118">
        <f t="shared" si="76"/>
        <v>0</v>
      </c>
      <c r="AP46" s="115"/>
      <c r="AQ46" s="118">
        <f t="shared" si="77"/>
        <v>0</v>
      </c>
      <c r="AR46" s="117"/>
      <c r="AS46" s="118">
        <f t="shared" si="78"/>
        <v>0</v>
      </c>
      <c r="AT46" s="119">
        <v>0</v>
      </c>
      <c r="AU46" s="120">
        <f>AT46*0.9</f>
        <v>0</v>
      </c>
      <c r="AV46" s="121">
        <f>AV44</f>
        <v>1.0000000000000001E-5</v>
      </c>
      <c r="AW46" s="118">
        <f t="shared" si="79"/>
        <v>0</v>
      </c>
      <c r="AX46" s="122">
        <v>0</v>
      </c>
      <c r="AY46" s="123">
        <f t="shared" si="80"/>
        <v>1.0000000000000001E-5</v>
      </c>
      <c r="AZ46" s="118">
        <f>(AV46-AY46)*AU46</f>
        <v>0</v>
      </c>
      <c r="BA46" s="118">
        <f t="shared" si="81"/>
        <v>149.70226143421795</v>
      </c>
      <c r="BB46" s="118">
        <f t="shared" si="82"/>
        <v>212.61621976755129</v>
      </c>
      <c r="BC46" s="166">
        <f t="shared" si="83"/>
        <v>62.913958333333341</v>
      </c>
      <c r="BD46" s="184">
        <v>0.6</v>
      </c>
      <c r="BE46" s="125">
        <f>0.8*BD46*BF62</f>
        <v>0.14399999999999999</v>
      </c>
      <c r="BF46" s="185"/>
      <c r="BG46" s="185"/>
    </row>
    <row r="47" spans="2:59" s="186" customFormat="1" ht="13.8" x14ac:dyDescent="0.3">
      <c r="B47" s="337"/>
      <c r="C47" s="332"/>
      <c r="D47" s="325"/>
      <c r="E47" s="94" t="str">
        <f t="shared" si="86"/>
        <v>nein</v>
      </c>
      <c r="F47" s="95"/>
      <c r="G47" s="96">
        <v>0</v>
      </c>
      <c r="H47" s="97">
        <v>0</v>
      </c>
      <c r="I47" s="98">
        <f t="shared" si="60"/>
        <v>0</v>
      </c>
      <c r="J47" s="99"/>
      <c r="K47" s="98">
        <f t="shared" si="61"/>
        <v>0</v>
      </c>
      <c r="L47" s="101"/>
      <c r="M47" s="98">
        <f t="shared" si="62"/>
        <v>0</v>
      </c>
      <c r="N47" s="99">
        <v>1</v>
      </c>
      <c r="O47" s="98">
        <f t="shared" si="63"/>
        <v>46.151818181818179</v>
      </c>
      <c r="P47" s="101">
        <v>2.5</v>
      </c>
      <c r="Q47" s="98">
        <f t="shared" si="64"/>
        <v>115.37954545454545</v>
      </c>
      <c r="R47" s="99">
        <v>1</v>
      </c>
      <c r="S47" s="98">
        <f t="shared" si="65"/>
        <v>44.63739130434783</v>
      </c>
      <c r="T47" s="101">
        <v>1.5</v>
      </c>
      <c r="U47" s="98">
        <f t="shared" si="66"/>
        <v>66.956086956521744</v>
      </c>
      <c r="V47" s="99"/>
      <c r="W47" s="98">
        <f t="shared" si="67"/>
        <v>0</v>
      </c>
      <c r="X47" s="101"/>
      <c r="Y47" s="98">
        <f t="shared" si="68"/>
        <v>0</v>
      </c>
      <c r="Z47" s="99">
        <v>0.5</v>
      </c>
      <c r="AA47" s="98">
        <f t="shared" si="69"/>
        <v>23.370238095238093</v>
      </c>
      <c r="AB47" s="101">
        <v>1</v>
      </c>
      <c r="AC47" s="98">
        <f t="shared" si="70"/>
        <v>46.740476190476187</v>
      </c>
      <c r="AD47" s="99"/>
      <c r="AE47" s="98">
        <f t="shared" si="71"/>
        <v>0</v>
      </c>
      <c r="AF47" s="101"/>
      <c r="AG47" s="98">
        <f t="shared" si="72"/>
        <v>0</v>
      </c>
      <c r="AH47" s="99"/>
      <c r="AI47" s="98">
        <f t="shared" si="73"/>
        <v>0</v>
      </c>
      <c r="AJ47" s="101"/>
      <c r="AK47" s="98">
        <f t="shared" si="74"/>
        <v>0</v>
      </c>
      <c r="AL47" s="99"/>
      <c r="AM47" s="98">
        <f t="shared" si="75"/>
        <v>0</v>
      </c>
      <c r="AN47" s="101"/>
      <c r="AO47" s="98">
        <f t="shared" si="76"/>
        <v>0</v>
      </c>
      <c r="AP47" s="99"/>
      <c r="AQ47" s="98">
        <f t="shared" si="77"/>
        <v>0</v>
      </c>
      <c r="AR47" s="101"/>
      <c r="AS47" s="98">
        <f t="shared" si="78"/>
        <v>0</v>
      </c>
      <c r="AT47" s="102">
        <f>AT46</f>
        <v>0</v>
      </c>
      <c r="AU47" s="103">
        <f t="shared" ref="AU47" si="91">AT47*0.9</f>
        <v>0</v>
      </c>
      <c r="AV47" s="104">
        <f>AV46</f>
        <v>1.0000000000000001E-5</v>
      </c>
      <c r="AW47" s="98">
        <f t="shared" si="79"/>
        <v>0</v>
      </c>
      <c r="AX47" s="105">
        <f>AX46</f>
        <v>0</v>
      </c>
      <c r="AY47" s="106">
        <f t="shared" si="80"/>
        <v>1.0000000000000001E-5</v>
      </c>
      <c r="AZ47" s="98">
        <f t="shared" ref="AZ47" si="92">(AV47-AY47)*AU47</f>
        <v>0</v>
      </c>
      <c r="BA47" s="98">
        <f t="shared" si="81"/>
        <v>114.15944758140411</v>
      </c>
      <c r="BB47" s="98">
        <f t="shared" si="82"/>
        <v>184.31073360154338</v>
      </c>
      <c r="BC47" s="107">
        <f t="shared" si="83"/>
        <v>70.151286020139267</v>
      </c>
      <c r="BD47" s="183">
        <v>0.4</v>
      </c>
      <c r="BE47" s="109">
        <f>0.8*BD47*BF62</f>
        <v>9.6000000000000016E-2</v>
      </c>
      <c r="BF47" s="185"/>
      <c r="BG47" s="185"/>
    </row>
    <row r="48" spans="2:59" ht="13.8" x14ac:dyDescent="0.3">
      <c r="B48" s="337"/>
      <c r="C48" s="332"/>
      <c r="D48" s="329" t="s">
        <v>62</v>
      </c>
      <c r="E48" s="110" t="str">
        <f t="shared" si="86"/>
        <v>ja</v>
      </c>
      <c r="F48" s="111"/>
      <c r="G48" s="112">
        <v>0</v>
      </c>
      <c r="H48" s="113">
        <v>0</v>
      </c>
      <c r="I48" s="118">
        <f t="shared" si="60"/>
        <v>0</v>
      </c>
      <c r="J48" s="115">
        <v>0.3</v>
      </c>
      <c r="K48" s="118">
        <f t="shared" si="61"/>
        <v>36.290999999999997</v>
      </c>
      <c r="L48" s="117">
        <v>0.6</v>
      </c>
      <c r="M48" s="118">
        <f t="shared" si="62"/>
        <v>72.581999999999994</v>
      </c>
      <c r="N48" s="115">
        <v>0.7</v>
      </c>
      <c r="O48" s="118">
        <f t="shared" si="63"/>
        <v>32.30627272727272</v>
      </c>
      <c r="P48" s="117">
        <v>1.5</v>
      </c>
      <c r="Q48" s="118">
        <f t="shared" si="64"/>
        <v>69.227727272727265</v>
      </c>
      <c r="R48" s="115">
        <v>1</v>
      </c>
      <c r="S48" s="118">
        <f t="shared" si="65"/>
        <v>44.63739130434783</v>
      </c>
      <c r="T48" s="117">
        <v>1.5</v>
      </c>
      <c r="U48" s="118">
        <f t="shared" si="66"/>
        <v>66.956086956521744</v>
      </c>
      <c r="V48" s="115"/>
      <c r="W48" s="118">
        <f t="shared" si="67"/>
        <v>0</v>
      </c>
      <c r="X48" s="117">
        <v>1</v>
      </c>
      <c r="Y48" s="118">
        <f t="shared" si="68"/>
        <v>16.785354141656661</v>
      </c>
      <c r="Z48" s="115">
        <v>0.3</v>
      </c>
      <c r="AA48" s="118">
        <f t="shared" si="69"/>
        <v>14.022142857142855</v>
      </c>
      <c r="AB48" s="117">
        <v>1</v>
      </c>
      <c r="AC48" s="118">
        <f t="shared" si="70"/>
        <v>46.740476190476187</v>
      </c>
      <c r="AD48" s="115"/>
      <c r="AE48" s="118">
        <f t="shared" si="71"/>
        <v>0</v>
      </c>
      <c r="AF48" s="117"/>
      <c r="AG48" s="118">
        <f t="shared" si="72"/>
        <v>0</v>
      </c>
      <c r="AH48" s="115"/>
      <c r="AI48" s="118">
        <f t="shared" si="73"/>
        <v>0</v>
      </c>
      <c r="AJ48" s="117"/>
      <c r="AK48" s="118">
        <f t="shared" si="74"/>
        <v>0</v>
      </c>
      <c r="AL48" s="115"/>
      <c r="AM48" s="118">
        <f t="shared" si="75"/>
        <v>0</v>
      </c>
      <c r="AN48" s="117"/>
      <c r="AO48" s="118">
        <f t="shared" si="76"/>
        <v>0</v>
      </c>
      <c r="AP48" s="115"/>
      <c r="AQ48" s="118">
        <f t="shared" si="77"/>
        <v>0</v>
      </c>
      <c r="AR48" s="117"/>
      <c r="AS48" s="118">
        <f t="shared" si="78"/>
        <v>0</v>
      </c>
      <c r="AT48" s="119">
        <v>0</v>
      </c>
      <c r="AU48" s="120">
        <f>AT48*0.9</f>
        <v>0</v>
      </c>
      <c r="AV48" s="121">
        <f>AV46</f>
        <v>1.0000000000000001E-5</v>
      </c>
      <c r="AW48" s="118">
        <f t="shared" si="79"/>
        <v>0</v>
      </c>
      <c r="AX48" s="122">
        <v>0</v>
      </c>
      <c r="AY48" s="123">
        <f t="shared" si="80"/>
        <v>1.0000000000000001E-5</v>
      </c>
      <c r="AZ48" s="118">
        <f>(AV48-AY48)*AU48</f>
        <v>0</v>
      </c>
      <c r="BA48" s="118">
        <f t="shared" si="81"/>
        <v>127.25680688876341</v>
      </c>
      <c r="BB48" s="118">
        <f t="shared" si="82"/>
        <v>227.52626956138187</v>
      </c>
      <c r="BC48" s="166">
        <f t="shared" si="83"/>
        <v>100.26946267261846</v>
      </c>
      <c r="BD48" s="184">
        <v>0.6</v>
      </c>
      <c r="BE48" s="125">
        <f>0.4*BD48*BF64</f>
        <v>0</v>
      </c>
    </row>
    <row r="49" spans="2:59" ht="13.8" x14ac:dyDescent="0.3">
      <c r="B49" s="337"/>
      <c r="C49" s="332"/>
      <c r="D49" s="330"/>
      <c r="E49" s="94" t="str">
        <f t="shared" si="86"/>
        <v>nein</v>
      </c>
      <c r="F49" s="95"/>
      <c r="G49" s="96">
        <v>0</v>
      </c>
      <c r="H49" s="97">
        <v>0</v>
      </c>
      <c r="I49" s="98">
        <f t="shared" si="60"/>
        <v>0</v>
      </c>
      <c r="J49" s="99"/>
      <c r="K49" s="98">
        <f t="shared" si="61"/>
        <v>0</v>
      </c>
      <c r="L49" s="101"/>
      <c r="M49" s="98">
        <f t="shared" si="62"/>
        <v>0</v>
      </c>
      <c r="N49" s="99">
        <v>1</v>
      </c>
      <c r="O49" s="98">
        <f t="shared" si="63"/>
        <v>46.151818181818179</v>
      </c>
      <c r="P49" s="101">
        <v>2.5</v>
      </c>
      <c r="Q49" s="98">
        <f t="shared" si="64"/>
        <v>115.37954545454545</v>
      </c>
      <c r="R49" s="99">
        <v>1</v>
      </c>
      <c r="S49" s="98">
        <f t="shared" si="65"/>
        <v>44.63739130434783</v>
      </c>
      <c r="T49" s="101">
        <v>1.5</v>
      </c>
      <c r="U49" s="98">
        <f t="shared" si="66"/>
        <v>66.956086956521744</v>
      </c>
      <c r="V49" s="99"/>
      <c r="W49" s="98">
        <f t="shared" si="67"/>
        <v>0</v>
      </c>
      <c r="X49" s="101">
        <v>1</v>
      </c>
      <c r="Y49" s="98">
        <f t="shared" si="68"/>
        <v>16.785354141656661</v>
      </c>
      <c r="Z49" s="99">
        <v>0.5</v>
      </c>
      <c r="AA49" s="98">
        <f t="shared" si="69"/>
        <v>23.370238095238093</v>
      </c>
      <c r="AB49" s="101">
        <v>1</v>
      </c>
      <c r="AC49" s="98">
        <f t="shared" si="70"/>
        <v>46.740476190476187</v>
      </c>
      <c r="AD49" s="99"/>
      <c r="AE49" s="98">
        <f t="shared" si="71"/>
        <v>0</v>
      </c>
      <c r="AF49" s="101"/>
      <c r="AG49" s="98">
        <f t="shared" si="72"/>
        <v>0</v>
      </c>
      <c r="AH49" s="99"/>
      <c r="AI49" s="98">
        <f t="shared" si="73"/>
        <v>0</v>
      </c>
      <c r="AJ49" s="101"/>
      <c r="AK49" s="98">
        <f t="shared" si="74"/>
        <v>0</v>
      </c>
      <c r="AL49" s="99"/>
      <c r="AM49" s="98">
        <f t="shared" si="75"/>
        <v>0</v>
      </c>
      <c r="AN49" s="101"/>
      <c r="AO49" s="98">
        <f t="shared" si="76"/>
        <v>0</v>
      </c>
      <c r="AP49" s="99"/>
      <c r="AQ49" s="98">
        <f t="shared" si="77"/>
        <v>0</v>
      </c>
      <c r="AR49" s="101"/>
      <c r="AS49" s="98">
        <f t="shared" si="78"/>
        <v>0</v>
      </c>
      <c r="AT49" s="102">
        <f>AT48</f>
        <v>0</v>
      </c>
      <c r="AU49" s="103">
        <f t="shared" ref="AU49" si="93">AT49*0.9</f>
        <v>0</v>
      </c>
      <c r="AV49" s="104">
        <f>AV48</f>
        <v>1.0000000000000001E-5</v>
      </c>
      <c r="AW49" s="98">
        <f t="shared" si="79"/>
        <v>0</v>
      </c>
      <c r="AX49" s="105">
        <f>AX48</f>
        <v>0</v>
      </c>
      <c r="AY49" s="106">
        <f t="shared" si="80"/>
        <v>1.0000000000000001E-5</v>
      </c>
      <c r="AZ49" s="98">
        <f t="shared" ref="AZ49" si="94">(AV49-AY49)*AU49</f>
        <v>0</v>
      </c>
      <c r="BA49" s="98">
        <f t="shared" si="81"/>
        <v>114.15944758140411</v>
      </c>
      <c r="BB49" s="98">
        <f t="shared" si="82"/>
        <v>201.09608774320003</v>
      </c>
      <c r="BC49" s="107">
        <f t="shared" si="83"/>
        <v>86.936640161795921</v>
      </c>
      <c r="BD49" s="183">
        <v>0.4</v>
      </c>
      <c r="BE49" s="109">
        <f>0.4*BD49*BF64</f>
        <v>0</v>
      </c>
    </row>
    <row r="50" spans="2:59" ht="13.8" x14ac:dyDescent="0.3">
      <c r="B50" s="337"/>
      <c r="C50" s="332"/>
      <c r="D50" s="329" t="s">
        <v>63</v>
      </c>
      <c r="E50" s="187" t="str">
        <f t="shared" si="86"/>
        <v>ja</v>
      </c>
      <c r="F50" s="188"/>
      <c r="G50" s="189">
        <v>0</v>
      </c>
      <c r="H50" s="190">
        <v>0</v>
      </c>
      <c r="I50" s="191">
        <f t="shared" si="60"/>
        <v>0</v>
      </c>
      <c r="J50" s="192">
        <v>0.5</v>
      </c>
      <c r="K50" s="191">
        <f t="shared" si="61"/>
        <v>60.484999999999999</v>
      </c>
      <c r="L50" s="193">
        <v>0.7</v>
      </c>
      <c r="M50" s="191">
        <f t="shared" si="62"/>
        <v>84.678999999999988</v>
      </c>
      <c r="N50" s="192">
        <v>0.5</v>
      </c>
      <c r="O50" s="191">
        <f t="shared" si="63"/>
        <v>23.075909090909089</v>
      </c>
      <c r="P50" s="193">
        <v>1</v>
      </c>
      <c r="Q50" s="191">
        <f t="shared" si="64"/>
        <v>46.151818181818179</v>
      </c>
      <c r="R50" s="192">
        <v>1</v>
      </c>
      <c r="S50" s="191">
        <f t="shared" si="65"/>
        <v>44.63739130434783</v>
      </c>
      <c r="T50" s="193">
        <v>1.5</v>
      </c>
      <c r="U50" s="191">
        <f t="shared" si="66"/>
        <v>66.956086956521744</v>
      </c>
      <c r="V50" s="192"/>
      <c r="W50" s="191">
        <f t="shared" si="67"/>
        <v>0</v>
      </c>
      <c r="X50" s="193"/>
      <c r="Y50" s="191">
        <f t="shared" si="68"/>
        <v>0</v>
      </c>
      <c r="Z50" s="192">
        <v>0.3</v>
      </c>
      <c r="AA50" s="191">
        <f t="shared" si="69"/>
        <v>14.022142857142855</v>
      </c>
      <c r="AB50" s="193">
        <v>1</v>
      </c>
      <c r="AC50" s="191">
        <f t="shared" si="70"/>
        <v>46.740476190476187</v>
      </c>
      <c r="AD50" s="192"/>
      <c r="AE50" s="191">
        <f t="shared" si="71"/>
        <v>0</v>
      </c>
      <c r="AF50" s="193"/>
      <c r="AG50" s="191">
        <f t="shared" si="72"/>
        <v>0</v>
      </c>
      <c r="AH50" s="192"/>
      <c r="AI50" s="191">
        <f t="shared" si="73"/>
        <v>0</v>
      </c>
      <c r="AJ50" s="193"/>
      <c r="AK50" s="191">
        <f t="shared" si="74"/>
        <v>0</v>
      </c>
      <c r="AL50" s="192"/>
      <c r="AM50" s="191">
        <f t="shared" si="75"/>
        <v>0</v>
      </c>
      <c r="AN50" s="193"/>
      <c r="AO50" s="191">
        <f t="shared" si="76"/>
        <v>0</v>
      </c>
      <c r="AP50" s="192"/>
      <c r="AQ50" s="191">
        <f t="shared" si="77"/>
        <v>0</v>
      </c>
      <c r="AR50" s="193"/>
      <c r="AS50" s="191">
        <f t="shared" si="78"/>
        <v>0</v>
      </c>
      <c r="AT50" s="194">
        <v>0</v>
      </c>
      <c r="AU50" s="195">
        <f>AT50*0.9</f>
        <v>0</v>
      </c>
      <c r="AV50" s="196">
        <f>AV48</f>
        <v>1.0000000000000001E-5</v>
      </c>
      <c r="AW50" s="191">
        <f t="shared" si="79"/>
        <v>0</v>
      </c>
      <c r="AX50" s="197">
        <v>0</v>
      </c>
      <c r="AY50" s="198">
        <f t="shared" si="80"/>
        <v>1.0000000000000001E-5</v>
      </c>
      <c r="AZ50" s="191">
        <f>(AV50-AY50)*AU50</f>
        <v>0</v>
      </c>
      <c r="BA50" s="191">
        <f t="shared" si="81"/>
        <v>142.22044325239978</v>
      </c>
      <c r="BB50" s="191">
        <f t="shared" si="82"/>
        <v>199.76200632881608</v>
      </c>
      <c r="BC50" s="166">
        <f t="shared" si="83"/>
        <v>57.54156307641631</v>
      </c>
      <c r="BD50" s="199">
        <v>0.4</v>
      </c>
      <c r="BE50" s="200">
        <f>0.2*BD50*BF66</f>
        <v>8.0000000000000002E-3</v>
      </c>
    </row>
    <row r="51" spans="2:59" ht="14.4" thickBot="1" x14ac:dyDescent="0.35">
      <c r="B51" s="337"/>
      <c r="C51" s="332"/>
      <c r="D51" s="301"/>
      <c r="E51" s="94" t="str">
        <f t="shared" si="86"/>
        <v>nein</v>
      </c>
      <c r="F51" s="95"/>
      <c r="G51" s="96">
        <v>0</v>
      </c>
      <c r="H51" s="97">
        <v>0</v>
      </c>
      <c r="I51" s="98">
        <f t="shared" si="60"/>
        <v>0</v>
      </c>
      <c r="J51" s="99"/>
      <c r="K51" s="98">
        <f t="shared" si="61"/>
        <v>0</v>
      </c>
      <c r="L51" s="101"/>
      <c r="M51" s="98">
        <f t="shared" si="62"/>
        <v>0</v>
      </c>
      <c r="N51" s="99">
        <v>1</v>
      </c>
      <c r="O51" s="98">
        <f t="shared" si="63"/>
        <v>46.151818181818179</v>
      </c>
      <c r="P51" s="101">
        <v>2</v>
      </c>
      <c r="Q51" s="98">
        <f t="shared" si="64"/>
        <v>92.303636363636357</v>
      </c>
      <c r="R51" s="99">
        <v>1</v>
      </c>
      <c r="S51" s="98">
        <f t="shared" si="65"/>
        <v>44.63739130434783</v>
      </c>
      <c r="T51" s="101">
        <v>1.5</v>
      </c>
      <c r="U51" s="98">
        <f t="shared" si="66"/>
        <v>66.956086956521744</v>
      </c>
      <c r="V51" s="99"/>
      <c r="W51" s="98">
        <f t="shared" si="67"/>
        <v>0</v>
      </c>
      <c r="X51" s="101"/>
      <c r="Y51" s="98">
        <f t="shared" si="68"/>
        <v>0</v>
      </c>
      <c r="Z51" s="99">
        <v>0.5</v>
      </c>
      <c r="AA51" s="98">
        <f t="shared" si="69"/>
        <v>23.370238095238093</v>
      </c>
      <c r="AB51" s="101">
        <v>1</v>
      </c>
      <c r="AC51" s="98">
        <f t="shared" si="70"/>
        <v>46.740476190476187</v>
      </c>
      <c r="AD51" s="99"/>
      <c r="AE51" s="98">
        <f t="shared" si="71"/>
        <v>0</v>
      </c>
      <c r="AF51" s="101"/>
      <c r="AG51" s="98">
        <f t="shared" si="72"/>
        <v>0</v>
      </c>
      <c r="AH51" s="99"/>
      <c r="AI51" s="98">
        <f t="shared" si="73"/>
        <v>0</v>
      </c>
      <c r="AJ51" s="101"/>
      <c r="AK51" s="98">
        <f t="shared" si="74"/>
        <v>0</v>
      </c>
      <c r="AL51" s="99"/>
      <c r="AM51" s="98">
        <f t="shared" si="75"/>
        <v>0</v>
      </c>
      <c r="AN51" s="101"/>
      <c r="AO51" s="98">
        <f t="shared" si="76"/>
        <v>0</v>
      </c>
      <c r="AP51" s="99"/>
      <c r="AQ51" s="98">
        <f t="shared" si="77"/>
        <v>0</v>
      </c>
      <c r="AR51" s="101"/>
      <c r="AS51" s="98">
        <f t="shared" si="78"/>
        <v>0</v>
      </c>
      <c r="AT51" s="102">
        <f>AT50</f>
        <v>0</v>
      </c>
      <c r="AU51" s="103">
        <f t="shared" ref="AU51" si="95">AT51*0.9</f>
        <v>0</v>
      </c>
      <c r="AV51" s="104">
        <f>AV50</f>
        <v>1.0000000000000001E-5</v>
      </c>
      <c r="AW51" s="98">
        <f t="shared" si="79"/>
        <v>0</v>
      </c>
      <c r="AX51" s="105">
        <f>AX50</f>
        <v>0</v>
      </c>
      <c r="AY51" s="106">
        <f t="shared" si="80"/>
        <v>1.0000000000000001E-5</v>
      </c>
      <c r="AZ51" s="98">
        <f t="shared" ref="AZ51" si="96">(AV51-AY51)*AU51</f>
        <v>0</v>
      </c>
      <c r="BA51" s="98">
        <f t="shared" si="81"/>
        <v>114.15944758140411</v>
      </c>
      <c r="BB51" s="98">
        <f t="shared" si="82"/>
        <v>161.2348245106343</v>
      </c>
      <c r="BC51" s="107">
        <f t="shared" si="83"/>
        <v>47.075376929230188</v>
      </c>
      <c r="BD51" s="183">
        <v>0.6</v>
      </c>
      <c r="BE51" s="109">
        <f>0.2*BD51*BF66</f>
        <v>1.1999999999999997E-2</v>
      </c>
    </row>
    <row r="52" spans="2:59" ht="13.8" x14ac:dyDescent="0.3">
      <c r="B52" s="337"/>
      <c r="C52" s="332"/>
      <c r="D52" s="300" t="s">
        <v>64</v>
      </c>
      <c r="E52" s="77" t="s">
        <v>57</v>
      </c>
      <c r="F52" s="141"/>
      <c r="G52" s="142"/>
      <c r="H52" s="143"/>
      <c r="I52" s="144"/>
      <c r="J52" s="145"/>
      <c r="K52" s="144"/>
      <c r="L52" s="146"/>
      <c r="M52" s="144"/>
      <c r="N52" s="145"/>
      <c r="O52" s="144"/>
      <c r="P52" s="146"/>
      <c r="Q52" s="144"/>
      <c r="R52" s="145"/>
      <c r="S52" s="144"/>
      <c r="T52" s="146"/>
      <c r="U52" s="144"/>
      <c r="V52" s="145"/>
      <c r="W52" s="144"/>
      <c r="X52" s="146"/>
      <c r="Y52" s="144"/>
      <c r="Z52" s="145"/>
      <c r="AA52" s="144"/>
      <c r="AB52" s="146"/>
      <c r="AC52" s="144"/>
      <c r="AD52" s="145"/>
      <c r="AE52" s="144"/>
      <c r="AF52" s="146"/>
      <c r="AG52" s="144"/>
      <c r="AH52" s="145"/>
      <c r="AI52" s="144"/>
      <c r="AJ52" s="146"/>
      <c r="AK52" s="144"/>
      <c r="AL52" s="145"/>
      <c r="AM52" s="144"/>
      <c r="AN52" s="146"/>
      <c r="AO52" s="144"/>
      <c r="AP52" s="145"/>
      <c r="AQ52" s="144"/>
      <c r="AR52" s="146"/>
      <c r="AS52" s="144"/>
      <c r="AT52" s="147"/>
      <c r="AU52" s="147"/>
      <c r="AV52" s="148"/>
      <c r="AW52" s="144"/>
      <c r="AX52" s="148"/>
      <c r="AY52" s="148"/>
      <c r="AZ52" s="144"/>
      <c r="BA52" s="144"/>
      <c r="BB52" s="144"/>
      <c r="BC52" s="164">
        <f>(BC40*BE40+BC42*BE42+BC44*BE44+BC46*BE46+BC48*BE48+BC50*BE50)/(BE40+BE42+BE44+BE46+BE48+BE50)</f>
        <v>73.435020323515417</v>
      </c>
      <c r="BD52" s="150"/>
      <c r="BE52" s="92">
        <f>BE40+BE42+BE44+BE46+BE48+BE50</f>
        <v>0.40600006999999994</v>
      </c>
    </row>
    <row r="53" spans="2:59" ht="14.4" thickBot="1" x14ac:dyDescent="0.35">
      <c r="B53" s="337"/>
      <c r="C53" s="332"/>
      <c r="D53" s="301"/>
      <c r="E53" s="126" t="s">
        <v>59</v>
      </c>
      <c r="F53" s="151"/>
      <c r="G53" s="152"/>
      <c r="H53" s="153"/>
      <c r="I53" s="74"/>
      <c r="J53" s="154"/>
      <c r="K53" s="74"/>
      <c r="L53" s="155"/>
      <c r="M53" s="74"/>
      <c r="N53" s="154"/>
      <c r="O53" s="74"/>
      <c r="P53" s="155"/>
      <c r="Q53" s="74"/>
      <c r="R53" s="154"/>
      <c r="S53" s="74"/>
      <c r="T53" s="155"/>
      <c r="U53" s="74"/>
      <c r="V53" s="154"/>
      <c r="W53" s="74"/>
      <c r="X53" s="155"/>
      <c r="Y53" s="74"/>
      <c r="Z53" s="154"/>
      <c r="AA53" s="74"/>
      <c r="AB53" s="155"/>
      <c r="AC53" s="74"/>
      <c r="AD53" s="154"/>
      <c r="AE53" s="74"/>
      <c r="AF53" s="155"/>
      <c r="AG53" s="74"/>
      <c r="AH53" s="154"/>
      <c r="AI53" s="74"/>
      <c r="AJ53" s="155"/>
      <c r="AK53" s="74"/>
      <c r="AL53" s="154"/>
      <c r="AM53" s="74"/>
      <c r="AN53" s="155"/>
      <c r="AO53" s="74"/>
      <c r="AP53" s="154"/>
      <c r="AQ53" s="74"/>
      <c r="AR53" s="155"/>
      <c r="AS53" s="74"/>
      <c r="AT53" s="156"/>
      <c r="AU53" s="156"/>
      <c r="AV53" s="157"/>
      <c r="AW53" s="74"/>
      <c r="AX53" s="157"/>
      <c r="AY53" s="157"/>
      <c r="AZ53" s="74"/>
      <c r="BA53" s="74"/>
      <c r="BB53" s="74"/>
      <c r="BC53" s="169">
        <f>(BC41*BE41+BC43*BE43+BC45*BE45+BC47*BE47+BC49*BE49+BC51*BE51)/(BE41+BE43+BE45+BE47+BE49+BE51)</f>
        <v>68.867446802932562</v>
      </c>
      <c r="BD53" s="158"/>
      <c r="BE53" s="140">
        <f>BE41+BE43+BE45+BE47+BE49+BE51</f>
        <v>0.2440003</v>
      </c>
    </row>
    <row r="54" spans="2:59" ht="14.4" thickBot="1" x14ac:dyDescent="0.35">
      <c r="B54" s="337"/>
      <c r="C54" s="335"/>
      <c r="D54" s="317"/>
      <c r="E54" s="159" t="s">
        <v>65</v>
      </c>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72">
        <f>(BC52*BE52+BC53*BE53)/(BE52+BE53)</f>
        <v>71.720422362141534</v>
      </c>
      <c r="BD54" s="162"/>
      <c r="BE54" s="163">
        <f>BE52+BE53</f>
        <v>0.65000036999999988</v>
      </c>
    </row>
    <row r="55" spans="2:59" s="182" customFormat="1" ht="13.8" x14ac:dyDescent="0.3">
      <c r="B55" s="337"/>
      <c r="C55" s="331" t="s">
        <v>59</v>
      </c>
      <c r="D55" s="345" t="s">
        <v>56</v>
      </c>
      <c r="E55" s="77" t="str">
        <f t="shared" ref="E55:E66" si="97">E40</f>
        <v>ja</v>
      </c>
      <c r="F55" s="78"/>
      <c r="G55" s="79">
        <v>0</v>
      </c>
      <c r="H55" s="80">
        <v>0</v>
      </c>
      <c r="I55" s="90">
        <f t="shared" ref="I55:I66" si="98">IF(G55=0,0,G55*H55+$H$5+$H$6)</f>
        <v>0</v>
      </c>
      <c r="J55" s="82">
        <v>0.1</v>
      </c>
      <c r="K55" s="90">
        <f t="shared" ref="K55:K66" si="99">J55*(J$10*$C$6+L$10)</f>
        <v>12.097000000000001</v>
      </c>
      <c r="L55" s="180">
        <v>0.1</v>
      </c>
      <c r="M55" s="90">
        <f t="shared" ref="M55:M66" si="100">L55*(J$10*$C$6+L$10)</f>
        <v>12.097000000000001</v>
      </c>
      <c r="N55" s="82">
        <v>0.9</v>
      </c>
      <c r="O55" s="90">
        <f t="shared" ref="O55:O66" si="101">N55*(N$10*$C$6+P$10)</f>
        <v>41.536636363636362</v>
      </c>
      <c r="P55" s="180">
        <v>1.3</v>
      </c>
      <c r="Q55" s="90">
        <f t="shared" ref="Q55:Q66" si="102">P55*(N$10*$C$6+P$10)</f>
        <v>59.997363636363637</v>
      </c>
      <c r="R55" s="82">
        <v>0.5</v>
      </c>
      <c r="S55" s="90">
        <f t="shared" ref="S55:S66" si="103">R55*(R$10*$C$6+T$10)</f>
        <v>22.318695652173915</v>
      </c>
      <c r="T55" s="180">
        <v>1</v>
      </c>
      <c r="U55" s="90">
        <f t="shared" ref="U55:U66" si="104">T55*(R$10*$C$6+T$10)</f>
        <v>44.63739130434783</v>
      </c>
      <c r="V55" s="82"/>
      <c r="W55" s="90">
        <f t="shared" ref="W55:W66" si="105">V55*(V$10*$C$6+X$10)</f>
        <v>0</v>
      </c>
      <c r="X55" s="180"/>
      <c r="Y55" s="90">
        <f t="shared" ref="Y55:Y66" si="106">X55*(V$10*$C$6+X$10)</f>
        <v>0</v>
      </c>
      <c r="Z55" s="82"/>
      <c r="AA55" s="90">
        <f t="shared" ref="AA55:AA66" si="107">Z55*(Z$10*$C$6+AB$10)</f>
        <v>0</v>
      </c>
      <c r="AB55" s="180"/>
      <c r="AC55" s="90">
        <f t="shared" ref="AC55:AC66" si="108">AB55*(Z$10*$C$6+AB$10)</f>
        <v>0</v>
      </c>
      <c r="AD55" s="82"/>
      <c r="AE55" s="90">
        <f t="shared" ref="AE55:AE66" si="109">AD55*(AD$10*$C$6+AF$10)</f>
        <v>0</v>
      </c>
      <c r="AF55" s="180"/>
      <c r="AG55" s="90">
        <f t="shared" ref="AG55:AG66" si="110">AF55*(AD$10*$C$6+AF$10)</f>
        <v>0</v>
      </c>
      <c r="AH55" s="82"/>
      <c r="AI55" s="90">
        <f t="shared" ref="AI55:AI66" si="111">AH55*(AH$10*$C$6+AJ$10)</f>
        <v>0</v>
      </c>
      <c r="AJ55" s="180"/>
      <c r="AK55" s="90">
        <f t="shared" ref="AK55:AK66" si="112">AJ55*(AH$10*$C$6+AJ$10)</f>
        <v>0</v>
      </c>
      <c r="AL55" s="82"/>
      <c r="AM55" s="90">
        <f t="shared" ref="AM55:AM66" si="113">AL55*(AL$10*$C$6+AN$10)</f>
        <v>0</v>
      </c>
      <c r="AN55" s="180"/>
      <c r="AO55" s="90">
        <f t="shared" ref="AO55:AO66" si="114">AN55*(AL$10*$C$6+AN$10)</f>
        <v>0</v>
      </c>
      <c r="AP55" s="82"/>
      <c r="AQ55" s="90">
        <f t="shared" ref="AQ55:AQ66" si="115">AP55*(AP$10*$C$6+AR$10)</f>
        <v>0</v>
      </c>
      <c r="AR55" s="180"/>
      <c r="AS55" s="90">
        <f t="shared" ref="AS55:AS66" si="116">AR55*(AP$10*$C$6+AR$10)</f>
        <v>0</v>
      </c>
      <c r="AT55" s="85">
        <v>0</v>
      </c>
      <c r="AU55" s="86">
        <f>AT55*0.9</f>
        <v>0</v>
      </c>
      <c r="AV55" s="87">
        <f>AV40</f>
        <v>1.0000000000000001E-5</v>
      </c>
      <c r="AW55" s="90">
        <f t="shared" ref="AW55:AW66" si="117">AV55*(AT55-AU55)</f>
        <v>0</v>
      </c>
      <c r="AX55" s="88">
        <v>0</v>
      </c>
      <c r="AY55" s="89">
        <f t="shared" ref="AY55:AY66" si="118">AV55-AX55</f>
        <v>1.0000000000000001E-5</v>
      </c>
      <c r="AZ55" s="90">
        <f>(AV55-AY55)*AU55</f>
        <v>0</v>
      </c>
      <c r="BA55" s="90">
        <f t="shared" ref="BA55:BA66" si="119">IF(SUM(AO55+AD55+Z55+V55+R55+N55+J55)=0,0,K55+O55+S55+W55+AA55+AE55+AH55+AL55+AP55+AX55)</f>
        <v>75.952332015810271</v>
      </c>
      <c r="BB55" s="90">
        <f t="shared" ref="BB55:BB66" si="120">IF(SUM(AR55+AF55+AB55+X55+T55+P55+L55)=0,0,I55+M55+Q55+U55+Y55+AC55+AG55+AK55+AO55+AS55+AW55+AZ55-$H$8)</f>
        <v>71.966379940711477</v>
      </c>
      <c r="BC55" s="90">
        <f t="shared" ref="BC55:BC66" si="121">IF(BB55-BA55&gt;0,BB55-BA55,0)</f>
        <v>0</v>
      </c>
      <c r="BD55" s="181">
        <v>0.6</v>
      </c>
      <c r="BE55" s="92">
        <f>0.4*BD55*BF56</f>
        <v>4.8000000000000001E-2</v>
      </c>
    </row>
    <row r="56" spans="2:59" s="182" customFormat="1" ht="13.8" x14ac:dyDescent="0.3">
      <c r="B56" s="337"/>
      <c r="C56" s="332"/>
      <c r="D56" s="345" t="s">
        <v>56</v>
      </c>
      <c r="E56" s="94" t="str">
        <f t="shared" si="97"/>
        <v>nein</v>
      </c>
      <c r="F56" s="95"/>
      <c r="G56" s="96">
        <v>0</v>
      </c>
      <c r="H56" s="97">
        <v>0</v>
      </c>
      <c r="I56" s="107">
        <f t="shared" si="98"/>
        <v>0</v>
      </c>
      <c r="J56" s="99">
        <v>0</v>
      </c>
      <c r="K56" s="107">
        <f t="shared" si="99"/>
        <v>0</v>
      </c>
      <c r="L56" s="101"/>
      <c r="M56" s="107">
        <f t="shared" si="100"/>
        <v>0</v>
      </c>
      <c r="N56" s="99">
        <v>1</v>
      </c>
      <c r="O56" s="107">
        <f t="shared" si="101"/>
        <v>46.151818181818179</v>
      </c>
      <c r="P56" s="101">
        <v>1.5</v>
      </c>
      <c r="Q56" s="107">
        <f t="shared" si="102"/>
        <v>69.227727272727265</v>
      </c>
      <c r="R56" s="99">
        <v>0.5</v>
      </c>
      <c r="S56" s="107">
        <f t="shared" si="103"/>
        <v>22.318695652173915</v>
      </c>
      <c r="T56" s="101">
        <v>1.5</v>
      </c>
      <c r="U56" s="107">
        <f t="shared" si="104"/>
        <v>66.956086956521744</v>
      </c>
      <c r="V56" s="99"/>
      <c r="W56" s="107">
        <f t="shared" si="105"/>
        <v>0</v>
      </c>
      <c r="X56" s="101"/>
      <c r="Y56" s="107">
        <f t="shared" si="106"/>
        <v>0</v>
      </c>
      <c r="Z56" s="99"/>
      <c r="AA56" s="107">
        <f t="shared" si="107"/>
        <v>0</v>
      </c>
      <c r="AB56" s="101"/>
      <c r="AC56" s="107">
        <f t="shared" si="108"/>
        <v>0</v>
      </c>
      <c r="AD56" s="99"/>
      <c r="AE56" s="107">
        <f t="shared" si="109"/>
        <v>0</v>
      </c>
      <c r="AF56" s="101"/>
      <c r="AG56" s="107">
        <f t="shared" si="110"/>
        <v>0</v>
      </c>
      <c r="AH56" s="99"/>
      <c r="AI56" s="107">
        <f t="shared" si="111"/>
        <v>0</v>
      </c>
      <c r="AJ56" s="101"/>
      <c r="AK56" s="107">
        <f t="shared" si="112"/>
        <v>0</v>
      </c>
      <c r="AL56" s="99"/>
      <c r="AM56" s="107">
        <f t="shared" si="113"/>
        <v>0</v>
      </c>
      <c r="AN56" s="101"/>
      <c r="AO56" s="107">
        <f t="shared" si="114"/>
        <v>0</v>
      </c>
      <c r="AP56" s="99"/>
      <c r="AQ56" s="107">
        <f t="shared" si="115"/>
        <v>0</v>
      </c>
      <c r="AR56" s="101"/>
      <c r="AS56" s="107">
        <f t="shared" si="116"/>
        <v>0</v>
      </c>
      <c r="AT56" s="102">
        <f>AT55</f>
        <v>0</v>
      </c>
      <c r="AU56" s="103">
        <f t="shared" ref="AU56" si="122">AT56*0.9</f>
        <v>0</v>
      </c>
      <c r="AV56" s="104">
        <f>AV55</f>
        <v>1.0000000000000001E-5</v>
      </c>
      <c r="AW56" s="107">
        <f t="shared" si="117"/>
        <v>0</v>
      </c>
      <c r="AX56" s="105">
        <f>AX55</f>
        <v>0</v>
      </c>
      <c r="AY56" s="106">
        <f t="shared" si="118"/>
        <v>1.0000000000000001E-5</v>
      </c>
      <c r="AZ56" s="107">
        <f t="shared" ref="AZ56" si="123">(AV56-AY56)*AU56</f>
        <v>0</v>
      </c>
      <c r="BA56" s="107">
        <f t="shared" si="119"/>
        <v>68.470513833992101</v>
      </c>
      <c r="BB56" s="107">
        <f t="shared" si="120"/>
        <v>91.418439229249003</v>
      </c>
      <c r="BC56" s="107">
        <f t="shared" si="121"/>
        <v>22.947925395256902</v>
      </c>
      <c r="BD56" s="183">
        <v>0.4</v>
      </c>
      <c r="BE56" s="109">
        <f>BF56-BE55-BE41-BE40</f>
        <v>3.2000000000000028E-2</v>
      </c>
      <c r="BF56" s="165">
        <v>0.2</v>
      </c>
    </row>
    <row r="57" spans="2:59" ht="13.8" x14ac:dyDescent="0.3">
      <c r="B57" s="337"/>
      <c r="C57" s="332"/>
      <c r="D57" s="346" t="s">
        <v>58</v>
      </c>
      <c r="E57" s="110" t="str">
        <f t="shared" si="97"/>
        <v>ja</v>
      </c>
      <c r="F57" s="111"/>
      <c r="G57" s="112">
        <v>0</v>
      </c>
      <c r="H57" s="113">
        <v>0</v>
      </c>
      <c r="I57" s="118">
        <f t="shared" si="98"/>
        <v>0</v>
      </c>
      <c r="J57" s="115">
        <v>0.5</v>
      </c>
      <c r="K57" s="118">
        <f t="shared" si="99"/>
        <v>60.484999999999999</v>
      </c>
      <c r="L57" s="117">
        <v>0.8</v>
      </c>
      <c r="M57" s="118">
        <f t="shared" si="100"/>
        <v>96.77600000000001</v>
      </c>
      <c r="N57" s="115">
        <v>0.5</v>
      </c>
      <c r="O57" s="118">
        <f t="shared" si="101"/>
        <v>23.075909090909089</v>
      </c>
      <c r="P57" s="117">
        <v>1.5</v>
      </c>
      <c r="Q57" s="118">
        <f t="shared" si="102"/>
        <v>69.227727272727265</v>
      </c>
      <c r="R57" s="115">
        <v>1</v>
      </c>
      <c r="S57" s="118">
        <f t="shared" si="103"/>
        <v>44.63739130434783</v>
      </c>
      <c r="T57" s="117">
        <v>1.5</v>
      </c>
      <c r="U57" s="118">
        <f t="shared" si="104"/>
        <v>66.956086956521744</v>
      </c>
      <c r="V57" s="115"/>
      <c r="W57" s="118">
        <f t="shared" si="105"/>
        <v>0</v>
      </c>
      <c r="X57" s="117"/>
      <c r="Y57" s="118">
        <f t="shared" si="106"/>
        <v>0</v>
      </c>
      <c r="Z57" s="115">
        <v>1</v>
      </c>
      <c r="AA57" s="118">
        <f t="shared" si="107"/>
        <v>46.740476190476187</v>
      </c>
      <c r="AB57" s="117">
        <v>2</v>
      </c>
      <c r="AC57" s="118">
        <f t="shared" si="108"/>
        <v>93.480952380952374</v>
      </c>
      <c r="AD57" s="115"/>
      <c r="AE57" s="118">
        <f t="shared" si="109"/>
        <v>0</v>
      </c>
      <c r="AF57" s="117"/>
      <c r="AG57" s="118">
        <f t="shared" si="110"/>
        <v>0</v>
      </c>
      <c r="AH57" s="115"/>
      <c r="AI57" s="118">
        <f t="shared" si="111"/>
        <v>0</v>
      </c>
      <c r="AJ57" s="117"/>
      <c r="AK57" s="118">
        <f t="shared" si="112"/>
        <v>0</v>
      </c>
      <c r="AL57" s="115"/>
      <c r="AM57" s="118">
        <f t="shared" si="113"/>
        <v>0</v>
      </c>
      <c r="AN57" s="117"/>
      <c r="AO57" s="118">
        <f t="shared" si="114"/>
        <v>0</v>
      </c>
      <c r="AP57" s="115"/>
      <c r="AQ57" s="118">
        <f t="shared" si="115"/>
        <v>0</v>
      </c>
      <c r="AR57" s="117"/>
      <c r="AS57" s="118">
        <f t="shared" si="116"/>
        <v>0</v>
      </c>
      <c r="AT57" s="119">
        <v>0</v>
      </c>
      <c r="AU57" s="120">
        <f>AT57*0.9</f>
        <v>0</v>
      </c>
      <c r="AV57" s="121">
        <f>AV42</f>
        <v>1.0000000000000001E-5</v>
      </c>
      <c r="AW57" s="118">
        <f t="shared" si="117"/>
        <v>0</v>
      </c>
      <c r="AX57" s="122">
        <v>0</v>
      </c>
      <c r="AY57" s="123">
        <f t="shared" si="118"/>
        <v>1.0000000000000001E-5</v>
      </c>
      <c r="AZ57" s="118">
        <f>(AV57-AY57)*AU57</f>
        <v>0</v>
      </c>
      <c r="BA57" s="118">
        <f t="shared" si="119"/>
        <v>174.93877658573311</v>
      </c>
      <c r="BB57" s="118">
        <f t="shared" si="120"/>
        <v>281.67539161020142</v>
      </c>
      <c r="BC57" s="166">
        <f t="shared" si="121"/>
        <v>106.73661502446831</v>
      </c>
      <c r="BD57" s="184">
        <v>0.7</v>
      </c>
      <c r="BE57" s="125">
        <f>0.333333*BD57*BF58</f>
        <v>6.9999929999999988E-2</v>
      </c>
    </row>
    <row r="58" spans="2:59" ht="13.8" x14ac:dyDescent="0.3">
      <c r="B58" s="337"/>
      <c r="C58" s="332"/>
      <c r="D58" s="347" t="s">
        <v>58</v>
      </c>
      <c r="E58" s="94" t="str">
        <f t="shared" si="97"/>
        <v>nein</v>
      </c>
      <c r="F58" s="95"/>
      <c r="G58" s="96">
        <v>0</v>
      </c>
      <c r="H58" s="97">
        <v>0</v>
      </c>
      <c r="I58" s="98">
        <f t="shared" si="98"/>
        <v>0</v>
      </c>
      <c r="J58" s="99"/>
      <c r="K58" s="98">
        <f t="shared" si="99"/>
        <v>0</v>
      </c>
      <c r="L58" s="101"/>
      <c r="M58" s="98">
        <f t="shared" si="100"/>
        <v>0</v>
      </c>
      <c r="N58" s="99">
        <v>1</v>
      </c>
      <c r="O58" s="98">
        <f t="shared" si="101"/>
        <v>46.151818181818179</v>
      </c>
      <c r="P58" s="101">
        <v>2</v>
      </c>
      <c r="Q58" s="98">
        <f t="shared" si="102"/>
        <v>92.303636363636357</v>
      </c>
      <c r="R58" s="99">
        <v>1</v>
      </c>
      <c r="S58" s="98">
        <f t="shared" si="103"/>
        <v>44.63739130434783</v>
      </c>
      <c r="T58" s="101">
        <v>1.5</v>
      </c>
      <c r="U58" s="98">
        <f t="shared" si="104"/>
        <v>66.956086956521744</v>
      </c>
      <c r="V58" s="99"/>
      <c r="W58" s="98">
        <f t="shared" si="105"/>
        <v>0</v>
      </c>
      <c r="X58" s="101"/>
      <c r="Y58" s="98">
        <f t="shared" si="106"/>
        <v>0</v>
      </c>
      <c r="Z58" s="99">
        <v>1</v>
      </c>
      <c r="AA58" s="98">
        <f t="shared" si="107"/>
        <v>46.740476190476187</v>
      </c>
      <c r="AB58" s="101">
        <v>1</v>
      </c>
      <c r="AC58" s="98">
        <f t="shared" si="108"/>
        <v>46.740476190476187</v>
      </c>
      <c r="AD58" s="99"/>
      <c r="AE58" s="98">
        <f t="shared" si="109"/>
        <v>0</v>
      </c>
      <c r="AF58" s="101"/>
      <c r="AG58" s="98">
        <f t="shared" si="110"/>
        <v>0</v>
      </c>
      <c r="AH58" s="99"/>
      <c r="AI58" s="98">
        <f t="shared" si="111"/>
        <v>0</v>
      </c>
      <c r="AJ58" s="101"/>
      <c r="AK58" s="98">
        <f t="shared" si="112"/>
        <v>0</v>
      </c>
      <c r="AL58" s="99"/>
      <c r="AM58" s="98">
        <f t="shared" si="113"/>
        <v>0</v>
      </c>
      <c r="AN58" s="101"/>
      <c r="AO58" s="98">
        <f t="shared" si="114"/>
        <v>0</v>
      </c>
      <c r="AP58" s="99"/>
      <c r="AQ58" s="98">
        <f t="shared" si="115"/>
        <v>0</v>
      </c>
      <c r="AR58" s="101"/>
      <c r="AS58" s="98">
        <f t="shared" si="116"/>
        <v>0</v>
      </c>
      <c r="AT58" s="102">
        <f>AT57</f>
        <v>0</v>
      </c>
      <c r="AU58" s="103">
        <f t="shared" ref="AU58" si="124">AT58*0.9</f>
        <v>0</v>
      </c>
      <c r="AV58" s="104">
        <f>AV57</f>
        <v>1.0000000000000001E-5</v>
      </c>
      <c r="AW58" s="98">
        <f t="shared" si="117"/>
        <v>0</v>
      </c>
      <c r="AX58" s="105">
        <f>AX57</f>
        <v>0</v>
      </c>
      <c r="AY58" s="106">
        <f t="shared" si="118"/>
        <v>1.0000000000000001E-5</v>
      </c>
      <c r="AZ58" s="98">
        <f t="shared" ref="AZ58" si="125">(AV58-AY58)*AU58</f>
        <v>0</v>
      </c>
      <c r="BA58" s="98">
        <f t="shared" si="119"/>
        <v>137.5296856766422</v>
      </c>
      <c r="BB58" s="98">
        <f t="shared" si="120"/>
        <v>161.2348245106343</v>
      </c>
      <c r="BC58" s="107">
        <f t="shared" si="121"/>
        <v>23.705138833992095</v>
      </c>
      <c r="BD58" s="183">
        <v>0.3</v>
      </c>
      <c r="BE58" s="109">
        <f>BF58-BE57-BE43-BE42</f>
        <v>2.999969999999999E-2</v>
      </c>
      <c r="BF58" s="165">
        <v>0.3</v>
      </c>
    </row>
    <row r="59" spans="2:59" ht="13.8" x14ac:dyDescent="0.3">
      <c r="B59" s="337"/>
      <c r="C59" s="332"/>
      <c r="D59" s="322" t="s">
        <v>60</v>
      </c>
      <c r="E59" s="110" t="str">
        <f t="shared" si="97"/>
        <v>ja</v>
      </c>
      <c r="F59" s="111"/>
      <c r="G59" s="112">
        <v>0</v>
      </c>
      <c r="H59" s="113">
        <v>0</v>
      </c>
      <c r="I59" s="118">
        <f t="shared" si="98"/>
        <v>0</v>
      </c>
      <c r="J59" s="115">
        <v>0.5</v>
      </c>
      <c r="K59" s="118">
        <f t="shared" si="99"/>
        <v>60.484999999999999</v>
      </c>
      <c r="L59" s="117">
        <v>0.7</v>
      </c>
      <c r="M59" s="118">
        <f t="shared" si="100"/>
        <v>84.678999999999988</v>
      </c>
      <c r="N59" s="115">
        <v>0.5</v>
      </c>
      <c r="O59" s="118">
        <f t="shared" si="101"/>
        <v>23.075909090909089</v>
      </c>
      <c r="P59" s="117">
        <v>1</v>
      </c>
      <c r="Q59" s="118">
        <f t="shared" si="102"/>
        <v>46.151818181818179</v>
      </c>
      <c r="R59" s="115">
        <v>1</v>
      </c>
      <c r="S59" s="118">
        <f t="shared" si="103"/>
        <v>44.63739130434783</v>
      </c>
      <c r="T59" s="117">
        <v>1.5</v>
      </c>
      <c r="U59" s="118">
        <f t="shared" si="104"/>
        <v>66.956086956521744</v>
      </c>
      <c r="V59" s="115"/>
      <c r="W59" s="118">
        <f t="shared" si="105"/>
        <v>0</v>
      </c>
      <c r="X59" s="117"/>
      <c r="Y59" s="118">
        <f t="shared" si="106"/>
        <v>0</v>
      </c>
      <c r="Z59" s="115"/>
      <c r="AA59" s="118">
        <f t="shared" si="107"/>
        <v>0</v>
      </c>
      <c r="AB59" s="117"/>
      <c r="AC59" s="118">
        <f t="shared" si="108"/>
        <v>0</v>
      </c>
      <c r="AD59" s="115"/>
      <c r="AE59" s="118">
        <f t="shared" si="109"/>
        <v>0</v>
      </c>
      <c r="AF59" s="117"/>
      <c r="AG59" s="118">
        <f t="shared" si="110"/>
        <v>0</v>
      </c>
      <c r="AH59" s="115"/>
      <c r="AI59" s="118">
        <f t="shared" si="111"/>
        <v>0</v>
      </c>
      <c r="AJ59" s="117"/>
      <c r="AK59" s="118">
        <f t="shared" si="112"/>
        <v>0</v>
      </c>
      <c r="AL59" s="115"/>
      <c r="AM59" s="118">
        <f t="shared" si="113"/>
        <v>0</v>
      </c>
      <c r="AN59" s="117"/>
      <c r="AO59" s="118">
        <f t="shared" si="114"/>
        <v>0</v>
      </c>
      <c r="AP59" s="115"/>
      <c r="AQ59" s="118">
        <f t="shared" si="115"/>
        <v>0</v>
      </c>
      <c r="AR59" s="117"/>
      <c r="AS59" s="118">
        <f t="shared" si="116"/>
        <v>0</v>
      </c>
      <c r="AT59" s="119">
        <v>0</v>
      </c>
      <c r="AU59" s="120">
        <f>AT59*0.9</f>
        <v>0</v>
      </c>
      <c r="AV59" s="121">
        <f>AV44</f>
        <v>1.0000000000000001E-5</v>
      </c>
      <c r="AW59" s="118">
        <f t="shared" si="117"/>
        <v>0</v>
      </c>
      <c r="AX59" s="122">
        <v>0</v>
      </c>
      <c r="AY59" s="123">
        <f t="shared" si="118"/>
        <v>1.0000000000000001E-5</v>
      </c>
      <c r="AZ59" s="118">
        <f>(AV59-AY59)*AU59</f>
        <v>0</v>
      </c>
      <c r="BA59" s="118">
        <f t="shared" si="119"/>
        <v>128.19830039525692</v>
      </c>
      <c r="BB59" s="118">
        <f t="shared" si="120"/>
        <v>153.0215301383399</v>
      </c>
      <c r="BC59" s="166">
        <f t="shared" si="121"/>
        <v>24.823229743082976</v>
      </c>
      <c r="BD59" s="184">
        <v>0.6</v>
      </c>
      <c r="BE59" s="125">
        <f>0.3*BD59*BF60</f>
        <v>1.7999999999999999E-2</v>
      </c>
    </row>
    <row r="60" spans="2:59" ht="13.8" x14ac:dyDescent="0.3">
      <c r="B60" s="337"/>
      <c r="C60" s="332"/>
      <c r="D60" s="323"/>
      <c r="E60" s="94" t="str">
        <f t="shared" si="97"/>
        <v>nein</v>
      </c>
      <c r="F60" s="95"/>
      <c r="G60" s="96">
        <v>0</v>
      </c>
      <c r="H60" s="97">
        <v>0</v>
      </c>
      <c r="I60" s="98">
        <f t="shared" si="98"/>
        <v>0</v>
      </c>
      <c r="J60" s="99"/>
      <c r="K60" s="98">
        <f t="shared" si="99"/>
        <v>0</v>
      </c>
      <c r="L60" s="101"/>
      <c r="M60" s="98">
        <f t="shared" si="100"/>
        <v>0</v>
      </c>
      <c r="N60" s="99">
        <v>1</v>
      </c>
      <c r="O60" s="98">
        <f t="shared" si="101"/>
        <v>46.151818181818179</v>
      </c>
      <c r="P60" s="101">
        <v>2</v>
      </c>
      <c r="Q60" s="98">
        <f t="shared" si="102"/>
        <v>92.303636363636357</v>
      </c>
      <c r="R60" s="99">
        <v>1</v>
      </c>
      <c r="S60" s="98">
        <f t="shared" si="103"/>
        <v>44.63739130434783</v>
      </c>
      <c r="T60" s="101">
        <v>1.5</v>
      </c>
      <c r="U60" s="98">
        <f t="shared" si="104"/>
        <v>66.956086956521744</v>
      </c>
      <c r="V60" s="99"/>
      <c r="W60" s="98">
        <f t="shared" si="105"/>
        <v>0</v>
      </c>
      <c r="X60" s="101"/>
      <c r="Y60" s="98">
        <f t="shared" si="106"/>
        <v>0</v>
      </c>
      <c r="Z60" s="99"/>
      <c r="AA60" s="98">
        <f t="shared" si="107"/>
        <v>0</v>
      </c>
      <c r="AB60" s="101"/>
      <c r="AC60" s="98">
        <f t="shared" si="108"/>
        <v>0</v>
      </c>
      <c r="AD60" s="99"/>
      <c r="AE60" s="98">
        <f t="shared" si="109"/>
        <v>0</v>
      </c>
      <c r="AF60" s="101"/>
      <c r="AG60" s="98">
        <f t="shared" si="110"/>
        <v>0</v>
      </c>
      <c r="AH60" s="99"/>
      <c r="AI60" s="98">
        <f t="shared" si="111"/>
        <v>0</v>
      </c>
      <c r="AJ60" s="101"/>
      <c r="AK60" s="98">
        <f t="shared" si="112"/>
        <v>0</v>
      </c>
      <c r="AL60" s="99"/>
      <c r="AM60" s="98">
        <f t="shared" si="113"/>
        <v>0</v>
      </c>
      <c r="AN60" s="101"/>
      <c r="AO60" s="98">
        <f t="shared" si="114"/>
        <v>0</v>
      </c>
      <c r="AP60" s="99"/>
      <c r="AQ60" s="98">
        <f t="shared" si="115"/>
        <v>0</v>
      </c>
      <c r="AR60" s="101"/>
      <c r="AS60" s="98">
        <f t="shared" si="116"/>
        <v>0</v>
      </c>
      <c r="AT60" s="102">
        <f>AT59</f>
        <v>0</v>
      </c>
      <c r="AU60" s="103">
        <f t="shared" ref="AU60" si="126">AT60*0.9</f>
        <v>0</v>
      </c>
      <c r="AV60" s="104">
        <f>AV59</f>
        <v>1.0000000000000001E-5</v>
      </c>
      <c r="AW60" s="98">
        <f t="shared" si="117"/>
        <v>0</v>
      </c>
      <c r="AX60" s="105">
        <f>AX59</f>
        <v>0</v>
      </c>
      <c r="AY60" s="106">
        <f t="shared" si="118"/>
        <v>1.0000000000000001E-5</v>
      </c>
      <c r="AZ60" s="98">
        <f t="shared" ref="AZ60" si="127">(AV60-AY60)*AU60</f>
        <v>0</v>
      </c>
      <c r="BA60" s="98">
        <f t="shared" si="119"/>
        <v>90.789209486166015</v>
      </c>
      <c r="BB60" s="98">
        <f t="shared" si="120"/>
        <v>114.49434832015811</v>
      </c>
      <c r="BC60" s="107">
        <f t="shared" si="121"/>
        <v>23.705138833992095</v>
      </c>
      <c r="BD60" s="183">
        <v>0.4</v>
      </c>
      <c r="BE60" s="109">
        <f>BF60-BE59-BE45-BE44</f>
        <v>1.2000000000000004E-2</v>
      </c>
      <c r="BF60" s="165">
        <v>0.1</v>
      </c>
    </row>
    <row r="61" spans="2:59" s="186" customFormat="1" ht="13.8" x14ac:dyDescent="0.3">
      <c r="B61" s="337"/>
      <c r="C61" s="332"/>
      <c r="D61" s="324" t="s">
        <v>61</v>
      </c>
      <c r="E61" s="110" t="str">
        <f t="shared" si="97"/>
        <v>ja</v>
      </c>
      <c r="F61" s="111"/>
      <c r="G61" s="112">
        <v>0</v>
      </c>
      <c r="H61" s="113">
        <v>0</v>
      </c>
      <c r="I61" s="118">
        <f t="shared" si="98"/>
        <v>0</v>
      </c>
      <c r="J61" s="115">
        <v>0.5</v>
      </c>
      <c r="K61" s="118">
        <f t="shared" si="99"/>
        <v>60.484999999999999</v>
      </c>
      <c r="L61" s="117">
        <v>0.7</v>
      </c>
      <c r="M61" s="118">
        <f t="shared" si="100"/>
        <v>84.678999999999988</v>
      </c>
      <c r="N61" s="115">
        <v>0.5</v>
      </c>
      <c r="O61" s="118">
        <f t="shared" si="101"/>
        <v>23.075909090909089</v>
      </c>
      <c r="P61" s="117">
        <v>1</v>
      </c>
      <c r="Q61" s="118">
        <f t="shared" si="102"/>
        <v>46.151818181818179</v>
      </c>
      <c r="R61" s="115">
        <v>1</v>
      </c>
      <c r="S61" s="118">
        <f t="shared" si="103"/>
        <v>44.63739130434783</v>
      </c>
      <c r="T61" s="117">
        <v>1.5</v>
      </c>
      <c r="U61" s="118">
        <f t="shared" si="104"/>
        <v>66.956086956521744</v>
      </c>
      <c r="V61" s="115"/>
      <c r="W61" s="118">
        <f t="shared" si="105"/>
        <v>0</v>
      </c>
      <c r="X61" s="117"/>
      <c r="Y61" s="118">
        <f t="shared" si="106"/>
        <v>0</v>
      </c>
      <c r="Z61" s="115"/>
      <c r="AA61" s="118">
        <f t="shared" si="107"/>
        <v>0</v>
      </c>
      <c r="AB61" s="117"/>
      <c r="AC61" s="118">
        <f t="shared" si="108"/>
        <v>0</v>
      </c>
      <c r="AD61" s="115"/>
      <c r="AE61" s="118">
        <f t="shared" si="109"/>
        <v>0</v>
      </c>
      <c r="AF61" s="117"/>
      <c r="AG61" s="118">
        <f t="shared" si="110"/>
        <v>0</v>
      </c>
      <c r="AH61" s="115"/>
      <c r="AI61" s="118">
        <f t="shared" si="111"/>
        <v>0</v>
      </c>
      <c r="AJ61" s="117"/>
      <c r="AK61" s="118">
        <f t="shared" si="112"/>
        <v>0</v>
      </c>
      <c r="AL61" s="115"/>
      <c r="AM61" s="118">
        <f t="shared" si="113"/>
        <v>0</v>
      </c>
      <c r="AN61" s="117"/>
      <c r="AO61" s="118">
        <f t="shared" si="114"/>
        <v>0</v>
      </c>
      <c r="AP61" s="115"/>
      <c r="AQ61" s="118">
        <f t="shared" si="115"/>
        <v>0</v>
      </c>
      <c r="AR61" s="117"/>
      <c r="AS61" s="118">
        <f t="shared" si="116"/>
        <v>0</v>
      </c>
      <c r="AT61" s="119">
        <v>0</v>
      </c>
      <c r="AU61" s="120">
        <f>AT61*0.9</f>
        <v>0</v>
      </c>
      <c r="AV61" s="121">
        <f>AV46</f>
        <v>1.0000000000000001E-5</v>
      </c>
      <c r="AW61" s="118">
        <f t="shared" si="117"/>
        <v>0</v>
      </c>
      <c r="AX61" s="122">
        <v>0</v>
      </c>
      <c r="AY61" s="123">
        <f t="shared" si="118"/>
        <v>1.0000000000000001E-5</v>
      </c>
      <c r="AZ61" s="118">
        <f>(AV61-AY61)*AU61</f>
        <v>0</v>
      </c>
      <c r="BA61" s="118">
        <f t="shared" si="119"/>
        <v>128.19830039525692</v>
      </c>
      <c r="BB61" s="118">
        <f t="shared" si="120"/>
        <v>153.0215301383399</v>
      </c>
      <c r="BC61" s="166">
        <f t="shared" si="121"/>
        <v>24.823229743082976</v>
      </c>
      <c r="BD61" s="184">
        <v>0.6</v>
      </c>
      <c r="BE61" s="125">
        <f>0.2*BD61*BF62</f>
        <v>3.5999999999999997E-2</v>
      </c>
      <c r="BF61" s="185"/>
      <c r="BG61" s="185"/>
    </row>
    <row r="62" spans="2:59" s="186" customFormat="1" ht="13.8" x14ac:dyDescent="0.3">
      <c r="B62" s="337"/>
      <c r="C62" s="332"/>
      <c r="D62" s="325"/>
      <c r="E62" s="94" t="str">
        <f t="shared" si="97"/>
        <v>nein</v>
      </c>
      <c r="F62" s="95"/>
      <c r="G62" s="96">
        <v>0</v>
      </c>
      <c r="H62" s="97">
        <v>0</v>
      </c>
      <c r="I62" s="98">
        <f t="shared" si="98"/>
        <v>0</v>
      </c>
      <c r="J62" s="99"/>
      <c r="K62" s="98">
        <f t="shared" si="99"/>
        <v>0</v>
      </c>
      <c r="L62" s="101"/>
      <c r="M62" s="98">
        <f t="shared" si="100"/>
        <v>0</v>
      </c>
      <c r="N62" s="99">
        <v>1</v>
      </c>
      <c r="O62" s="98">
        <f t="shared" si="101"/>
        <v>46.151818181818179</v>
      </c>
      <c r="P62" s="101">
        <v>2</v>
      </c>
      <c r="Q62" s="98">
        <f t="shared" si="102"/>
        <v>92.303636363636357</v>
      </c>
      <c r="R62" s="99">
        <v>1</v>
      </c>
      <c r="S62" s="98">
        <f t="shared" si="103"/>
        <v>44.63739130434783</v>
      </c>
      <c r="T62" s="101">
        <v>1.5</v>
      </c>
      <c r="U62" s="98">
        <f t="shared" si="104"/>
        <v>66.956086956521744</v>
      </c>
      <c r="V62" s="99"/>
      <c r="W62" s="98">
        <f t="shared" si="105"/>
        <v>0</v>
      </c>
      <c r="X62" s="101"/>
      <c r="Y62" s="98">
        <f t="shared" si="106"/>
        <v>0</v>
      </c>
      <c r="Z62" s="99"/>
      <c r="AA62" s="98">
        <f t="shared" si="107"/>
        <v>0</v>
      </c>
      <c r="AB62" s="101"/>
      <c r="AC62" s="98">
        <f t="shared" si="108"/>
        <v>0</v>
      </c>
      <c r="AD62" s="99"/>
      <c r="AE62" s="98">
        <f t="shared" si="109"/>
        <v>0</v>
      </c>
      <c r="AF62" s="101"/>
      <c r="AG62" s="98">
        <f t="shared" si="110"/>
        <v>0</v>
      </c>
      <c r="AH62" s="99"/>
      <c r="AI62" s="98">
        <f t="shared" si="111"/>
        <v>0</v>
      </c>
      <c r="AJ62" s="101"/>
      <c r="AK62" s="98">
        <f t="shared" si="112"/>
        <v>0</v>
      </c>
      <c r="AL62" s="99"/>
      <c r="AM62" s="98">
        <f t="shared" si="113"/>
        <v>0</v>
      </c>
      <c r="AN62" s="101"/>
      <c r="AO62" s="98">
        <f t="shared" si="114"/>
        <v>0</v>
      </c>
      <c r="AP62" s="99"/>
      <c r="AQ62" s="98">
        <f t="shared" si="115"/>
        <v>0</v>
      </c>
      <c r="AR62" s="101"/>
      <c r="AS62" s="98">
        <f t="shared" si="116"/>
        <v>0</v>
      </c>
      <c r="AT62" s="102">
        <f>AT61</f>
        <v>0</v>
      </c>
      <c r="AU62" s="103">
        <f t="shared" ref="AU62" si="128">AT62*0.9</f>
        <v>0</v>
      </c>
      <c r="AV62" s="104">
        <f>AV61</f>
        <v>1.0000000000000001E-5</v>
      </c>
      <c r="AW62" s="98">
        <f t="shared" si="117"/>
        <v>0</v>
      </c>
      <c r="AX62" s="105">
        <f>AX61</f>
        <v>0</v>
      </c>
      <c r="AY62" s="106">
        <f t="shared" si="118"/>
        <v>1.0000000000000001E-5</v>
      </c>
      <c r="AZ62" s="98">
        <f t="shared" ref="AZ62" si="129">(AV62-AY62)*AU62</f>
        <v>0</v>
      </c>
      <c r="BA62" s="98">
        <f t="shared" si="119"/>
        <v>90.789209486166015</v>
      </c>
      <c r="BB62" s="98">
        <f t="shared" si="120"/>
        <v>114.49434832015811</v>
      </c>
      <c r="BC62" s="107">
        <f t="shared" si="121"/>
        <v>23.705138833992095</v>
      </c>
      <c r="BD62" s="183">
        <v>0.4</v>
      </c>
      <c r="BE62" s="109">
        <f>BF62-BE61-BE47-BE46</f>
        <v>2.3999999999999994E-2</v>
      </c>
      <c r="BF62" s="165">
        <v>0.3</v>
      </c>
      <c r="BG62" s="185"/>
    </row>
    <row r="63" spans="2:59" ht="13.8" x14ac:dyDescent="0.3">
      <c r="B63" s="337"/>
      <c r="C63" s="332"/>
      <c r="D63" s="329" t="s">
        <v>62</v>
      </c>
      <c r="E63" s="110" t="str">
        <f t="shared" si="97"/>
        <v>ja</v>
      </c>
      <c r="F63" s="111"/>
      <c r="G63" s="112">
        <v>0</v>
      </c>
      <c r="H63" s="113">
        <v>0</v>
      </c>
      <c r="I63" s="118">
        <f t="shared" si="98"/>
        <v>0</v>
      </c>
      <c r="J63" s="115">
        <v>0.2</v>
      </c>
      <c r="K63" s="118">
        <f t="shared" si="99"/>
        <v>24.194000000000003</v>
      </c>
      <c r="L63" s="117">
        <v>0.5</v>
      </c>
      <c r="M63" s="118">
        <f t="shared" si="100"/>
        <v>60.484999999999999</v>
      </c>
      <c r="N63" s="115">
        <v>0.8</v>
      </c>
      <c r="O63" s="118">
        <f t="shared" si="101"/>
        <v>36.921454545454544</v>
      </c>
      <c r="P63" s="117">
        <v>1.5</v>
      </c>
      <c r="Q63" s="118">
        <f t="shared" si="102"/>
        <v>69.227727272727265</v>
      </c>
      <c r="R63" s="115">
        <v>1</v>
      </c>
      <c r="S63" s="118">
        <f t="shared" si="103"/>
        <v>44.63739130434783</v>
      </c>
      <c r="T63" s="117">
        <v>1.5</v>
      </c>
      <c r="U63" s="118">
        <f t="shared" si="104"/>
        <v>66.956086956521744</v>
      </c>
      <c r="V63" s="115"/>
      <c r="W63" s="118">
        <f t="shared" si="105"/>
        <v>0</v>
      </c>
      <c r="X63" s="117">
        <v>1</v>
      </c>
      <c r="Y63" s="118">
        <f t="shared" si="106"/>
        <v>16.785354141656661</v>
      </c>
      <c r="Z63" s="115"/>
      <c r="AA63" s="118">
        <f t="shared" si="107"/>
        <v>0</v>
      </c>
      <c r="AB63" s="117"/>
      <c r="AC63" s="118">
        <f t="shared" si="108"/>
        <v>0</v>
      </c>
      <c r="AD63" s="115"/>
      <c r="AE63" s="118">
        <f t="shared" si="109"/>
        <v>0</v>
      </c>
      <c r="AF63" s="117"/>
      <c r="AG63" s="118">
        <f t="shared" si="110"/>
        <v>0</v>
      </c>
      <c r="AH63" s="115"/>
      <c r="AI63" s="118">
        <f t="shared" si="111"/>
        <v>0</v>
      </c>
      <c r="AJ63" s="117"/>
      <c r="AK63" s="118">
        <f t="shared" si="112"/>
        <v>0</v>
      </c>
      <c r="AL63" s="115"/>
      <c r="AM63" s="118">
        <f t="shared" si="113"/>
        <v>0</v>
      </c>
      <c r="AN63" s="117"/>
      <c r="AO63" s="118">
        <f t="shared" si="114"/>
        <v>0</v>
      </c>
      <c r="AP63" s="115"/>
      <c r="AQ63" s="118">
        <f t="shared" si="115"/>
        <v>0</v>
      </c>
      <c r="AR63" s="117"/>
      <c r="AS63" s="118">
        <f t="shared" si="116"/>
        <v>0</v>
      </c>
      <c r="AT63" s="119">
        <v>0</v>
      </c>
      <c r="AU63" s="120">
        <f>AT63*0.9</f>
        <v>0</v>
      </c>
      <c r="AV63" s="121">
        <f>AV48</f>
        <v>1.0000000000000001E-5</v>
      </c>
      <c r="AW63" s="118">
        <f t="shared" si="117"/>
        <v>0</v>
      </c>
      <c r="AX63" s="122">
        <v>0</v>
      </c>
      <c r="AY63" s="123">
        <f t="shared" si="118"/>
        <v>1.0000000000000001E-5</v>
      </c>
      <c r="AZ63" s="118">
        <f>(AV63-AY63)*AU63</f>
        <v>0</v>
      </c>
      <c r="BA63" s="118">
        <f t="shared" si="119"/>
        <v>105.75284584980238</v>
      </c>
      <c r="BB63" s="118">
        <f t="shared" si="120"/>
        <v>168.68879337090564</v>
      </c>
      <c r="BC63" s="166">
        <f t="shared" si="121"/>
        <v>62.935947521103259</v>
      </c>
      <c r="BD63" s="184">
        <v>0.6</v>
      </c>
      <c r="BE63" s="125">
        <f>0.6*BD63*BF64</f>
        <v>0</v>
      </c>
    </row>
    <row r="64" spans="2:59" ht="13.8" x14ac:dyDescent="0.3">
      <c r="B64" s="337"/>
      <c r="C64" s="332"/>
      <c r="D64" s="330"/>
      <c r="E64" s="94" t="str">
        <f t="shared" si="97"/>
        <v>nein</v>
      </c>
      <c r="F64" s="95"/>
      <c r="G64" s="96">
        <v>0</v>
      </c>
      <c r="H64" s="97">
        <v>0</v>
      </c>
      <c r="I64" s="98">
        <f t="shared" si="98"/>
        <v>0</v>
      </c>
      <c r="J64" s="99"/>
      <c r="K64" s="98">
        <f t="shared" si="99"/>
        <v>0</v>
      </c>
      <c r="L64" s="101"/>
      <c r="M64" s="98">
        <f t="shared" si="100"/>
        <v>0</v>
      </c>
      <c r="N64" s="99">
        <v>1</v>
      </c>
      <c r="O64" s="98">
        <f t="shared" si="101"/>
        <v>46.151818181818179</v>
      </c>
      <c r="P64" s="101">
        <v>2.5</v>
      </c>
      <c r="Q64" s="98">
        <f t="shared" si="102"/>
        <v>115.37954545454545</v>
      </c>
      <c r="R64" s="99">
        <v>2</v>
      </c>
      <c r="S64" s="98">
        <f t="shared" si="103"/>
        <v>89.274782608695659</v>
      </c>
      <c r="T64" s="101">
        <v>2</v>
      </c>
      <c r="U64" s="98">
        <f t="shared" si="104"/>
        <v>89.274782608695659</v>
      </c>
      <c r="V64" s="99"/>
      <c r="W64" s="98">
        <f t="shared" si="105"/>
        <v>0</v>
      </c>
      <c r="X64" s="101">
        <v>1</v>
      </c>
      <c r="Y64" s="98">
        <f t="shared" si="106"/>
        <v>16.785354141656661</v>
      </c>
      <c r="Z64" s="99"/>
      <c r="AA64" s="98">
        <f t="shared" si="107"/>
        <v>0</v>
      </c>
      <c r="AB64" s="101"/>
      <c r="AC64" s="98">
        <f t="shared" si="108"/>
        <v>0</v>
      </c>
      <c r="AD64" s="99"/>
      <c r="AE64" s="98">
        <f t="shared" si="109"/>
        <v>0</v>
      </c>
      <c r="AF64" s="101"/>
      <c r="AG64" s="98">
        <f t="shared" si="110"/>
        <v>0</v>
      </c>
      <c r="AH64" s="99"/>
      <c r="AI64" s="98">
        <f t="shared" si="111"/>
        <v>0</v>
      </c>
      <c r="AJ64" s="101"/>
      <c r="AK64" s="98">
        <f t="shared" si="112"/>
        <v>0</v>
      </c>
      <c r="AL64" s="99"/>
      <c r="AM64" s="98">
        <f t="shared" si="113"/>
        <v>0</v>
      </c>
      <c r="AN64" s="101"/>
      <c r="AO64" s="98">
        <f t="shared" si="114"/>
        <v>0</v>
      </c>
      <c r="AP64" s="99"/>
      <c r="AQ64" s="98">
        <f t="shared" si="115"/>
        <v>0</v>
      </c>
      <c r="AR64" s="101"/>
      <c r="AS64" s="98">
        <f t="shared" si="116"/>
        <v>0</v>
      </c>
      <c r="AT64" s="102">
        <f>AT63</f>
        <v>0</v>
      </c>
      <c r="AU64" s="103">
        <f t="shared" ref="AU64" si="130">AT64*0.9</f>
        <v>0</v>
      </c>
      <c r="AV64" s="104">
        <f>AV63</f>
        <v>1.0000000000000001E-5</v>
      </c>
      <c r="AW64" s="98">
        <f t="shared" si="117"/>
        <v>0</v>
      </c>
      <c r="AX64" s="105">
        <f>AX63</f>
        <v>0</v>
      </c>
      <c r="AY64" s="106">
        <f t="shared" si="118"/>
        <v>1.0000000000000001E-5</v>
      </c>
      <c r="AZ64" s="98">
        <f t="shared" ref="AZ64" si="131">(AV64-AY64)*AU64</f>
        <v>0</v>
      </c>
      <c r="BA64" s="98">
        <f t="shared" si="119"/>
        <v>135.42660079051385</v>
      </c>
      <c r="BB64" s="98">
        <f t="shared" si="120"/>
        <v>176.67430720489776</v>
      </c>
      <c r="BC64" s="107">
        <f t="shared" si="121"/>
        <v>41.247706414383913</v>
      </c>
      <c r="BD64" s="183">
        <v>0.4</v>
      </c>
      <c r="BE64" s="109">
        <f>BF64-BE63-BE49-BE48</f>
        <v>0</v>
      </c>
      <c r="BF64" s="165">
        <v>0</v>
      </c>
    </row>
    <row r="65" spans="2:59" ht="13.8" x14ac:dyDescent="0.3">
      <c r="B65" s="337"/>
      <c r="C65" s="332"/>
      <c r="D65" s="329" t="s">
        <v>63</v>
      </c>
      <c r="E65" s="187" t="str">
        <f t="shared" si="97"/>
        <v>ja</v>
      </c>
      <c r="F65" s="188"/>
      <c r="G65" s="189">
        <v>0</v>
      </c>
      <c r="H65" s="190">
        <v>0</v>
      </c>
      <c r="I65" s="191">
        <f t="shared" si="98"/>
        <v>0</v>
      </c>
      <c r="J65" s="192">
        <v>0.4</v>
      </c>
      <c r="K65" s="191">
        <f t="shared" si="99"/>
        <v>48.388000000000005</v>
      </c>
      <c r="L65" s="193">
        <v>0.6</v>
      </c>
      <c r="M65" s="191">
        <f t="shared" si="100"/>
        <v>72.581999999999994</v>
      </c>
      <c r="N65" s="192">
        <v>0.6</v>
      </c>
      <c r="O65" s="191">
        <f t="shared" si="101"/>
        <v>27.691090909090907</v>
      </c>
      <c r="P65" s="193">
        <v>1</v>
      </c>
      <c r="Q65" s="191">
        <f t="shared" si="102"/>
        <v>46.151818181818179</v>
      </c>
      <c r="R65" s="192">
        <v>0.5</v>
      </c>
      <c r="S65" s="191">
        <f t="shared" si="103"/>
        <v>22.318695652173915</v>
      </c>
      <c r="T65" s="193">
        <v>1</v>
      </c>
      <c r="U65" s="191">
        <f t="shared" si="104"/>
        <v>44.63739130434783</v>
      </c>
      <c r="V65" s="192"/>
      <c r="W65" s="191">
        <f t="shared" si="105"/>
        <v>0</v>
      </c>
      <c r="X65" s="193"/>
      <c r="Y65" s="191">
        <f t="shared" si="106"/>
        <v>0</v>
      </c>
      <c r="Z65" s="192"/>
      <c r="AA65" s="191">
        <f t="shared" si="107"/>
        <v>0</v>
      </c>
      <c r="AB65" s="193"/>
      <c r="AC65" s="191">
        <f t="shared" si="108"/>
        <v>0</v>
      </c>
      <c r="AD65" s="192"/>
      <c r="AE65" s="191">
        <f t="shared" si="109"/>
        <v>0</v>
      </c>
      <c r="AF65" s="193"/>
      <c r="AG65" s="191">
        <f t="shared" si="110"/>
        <v>0</v>
      </c>
      <c r="AH65" s="192"/>
      <c r="AI65" s="191">
        <f t="shared" si="111"/>
        <v>0</v>
      </c>
      <c r="AJ65" s="193"/>
      <c r="AK65" s="191">
        <f t="shared" si="112"/>
        <v>0</v>
      </c>
      <c r="AL65" s="192"/>
      <c r="AM65" s="191">
        <f t="shared" si="113"/>
        <v>0</v>
      </c>
      <c r="AN65" s="193"/>
      <c r="AO65" s="191">
        <f t="shared" si="114"/>
        <v>0</v>
      </c>
      <c r="AP65" s="192"/>
      <c r="AQ65" s="191">
        <f t="shared" si="115"/>
        <v>0</v>
      </c>
      <c r="AR65" s="193"/>
      <c r="AS65" s="191">
        <f t="shared" si="116"/>
        <v>0</v>
      </c>
      <c r="AT65" s="194">
        <v>0</v>
      </c>
      <c r="AU65" s="195">
        <f>AT65*0.9</f>
        <v>0</v>
      </c>
      <c r="AV65" s="196">
        <f>AV50</f>
        <v>1.0000000000000001E-5</v>
      </c>
      <c r="AW65" s="191">
        <f t="shared" si="117"/>
        <v>0</v>
      </c>
      <c r="AX65" s="197">
        <v>0</v>
      </c>
      <c r="AY65" s="198">
        <f t="shared" si="118"/>
        <v>1.0000000000000001E-5</v>
      </c>
      <c r="AZ65" s="191">
        <f>(AV65-AY65)*AU65</f>
        <v>0</v>
      </c>
      <c r="BA65" s="191">
        <f t="shared" si="119"/>
        <v>98.397786561264823</v>
      </c>
      <c r="BB65" s="191">
        <f t="shared" si="120"/>
        <v>118.605834486166</v>
      </c>
      <c r="BC65" s="166">
        <f t="shared" si="121"/>
        <v>20.20804792490118</v>
      </c>
      <c r="BD65" s="199">
        <v>0.4</v>
      </c>
      <c r="BE65" s="200">
        <f>0.8*BD65*BF66</f>
        <v>3.2000000000000001E-2</v>
      </c>
    </row>
    <row r="66" spans="2:59" ht="14.4" thickBot="1" x14ac:dyDescent="0.35">
      <c r="B66" s="337"/>
      <c r="C66" s="332"/>
      <c r="D66" s="301"/>
      <c r="E66" s="94" t="str">
        <f t="shared" si="97"/>
        <v>nein</v>
      </c>
      <c r="F66" s="95"/>
      <c r="G66" s="96">
        <v>0</v>
      </c>
      <c r="H66" s="97">
        <v>0</v>
      </c>
      <c r="I66" s="98">
        <f t="shared" si="98"/>
        <v>0</v>
      </c>
      <c r="J66" s="99"/>
      <c r="K66" s="98">
        <f t="shared" si="99"/>
        <v>0</v>
      </c>
      <c r="L66" s="101"/>
      <c r="M66" s="98">
        <f t="shared" si="100"/>
        <v>0</v>
      </c>
      <c r="N66" s="99">
        <v>1</v>
      </c>
      <c r="O66" s="98">
        <f t="shared" si="101"/>
        <v>46.151818181818179</v>
      </c>
      <c r="P66" s="101">
        <v>2</v>
      </c>
      <c r="Q66" s="98">
        <f t="shared" si="102"/>
        <v>92.303636363636357</v>
      </c>
      <c r="R66" s="99">
        <v>1</v>
      </c>
      <c r="S66" s="98">
        <f t="shared" si="103"/>
        <v>44.63739130434783</v>
      </c>
      <c r="T66" s="101">
        <v>1.5</v>
      </c>
      <c r="U66" s="98">
        <f t="shared" si="104"/>
        <v>66.956086956521744</v>
      </c>
      <c r="V66" s="99"/>
      <c r="W66" s="98">
        <f t="shared" si="105"/>
        <v>0</v>
      </c>
      <c r="X66" s="101"/>
      <c r="Y66" s="98">
        <f t="shared" si="106"/>
        <v>0</v>
      </c>
      <c r="Z66" s="99"/>
      <c r="AA66" s="98">
        <f t="shared" si="107"/>
        <v>0</v>
      </c>
      <c r="AB66" s="101"/>
      <c r="AC66" s="98">
        <f t="shared" si="108"/>
        <v>0</v>
      </c>
      <c r="AD66" s="99"/>
      <c r="AE66" s="98">
        <f t="shared" si="109"/>
        <v>0</v>
      </c>
      <c r="AF66" s="101"/>
      <c r="AG66" s="98">
        <f t="shared" si="110"/>
        <v>0</v>
      </c>
      <c r="AH66" s="99"/>
      <c r="AI66" s="98">
        <f t="shared" si="111"/>
        <v>0</v>
      </c>
      <c r="AJ66" s="101"/>
      <c r="AK66" s="98">
        <f t="shared" si="112"/>
        <v>0</v>
      </c>
      <c r="AL66" s="99"/>
      <c r="AM66" s="98">
        <f t="shared" si="113"/>
        <v>0</v>
      </c>
      <c r="AN66" s="101"/>
      <c r="AO66" s="98">
        <f t="shared" si="114"/>
        <v>0</v>
      </c>
      <c r="AP66" s="99"/>
      <c r="AQ66" s="98">
        <f t="shared" si="115"/>
        <v>0</v>
      </c>
      <c r="AR66" s="101"/>
      <c r="AS66" s="98">
        <f t="shared" si="116"/>
        <v>0</v>
      </c>
      <c r="AT66" s="102">
        <f>AT65</f>
        <v>0</v>
      </c>
      <c r="AU66" s="103">
        <f t="shared" ref="AU66" si="132">AT66*0.9</f>
        <v>0</v>
      </c>
      <c r="AV66" s="104">
        <f>AV65</f>
        <v>1.0000000000000001E-5</v>
      </c>
      <c r="AW66" s="98">
        <f t="shared" si="117"/>
        <v>0</v>
      </c>
      <c r="AX66" s="105">
        <f>AX65</f>
        <v>0</v>
      </c>
      <c r="AY66" s="106">
        <f t="shared" si="118"/>
        <v>1.0000000000000001E-5</v>
      </c>
      <c r="AZ66" s="98">
        <f t="shared" ref="AZ66" si="133">(AV66-AY66)*AU66</f>
        <v>0</v>
      </c>
      <c r="BA66" s="98">
        <f t="shared" si="119"/>
        <v>90.789209486166015</v>
      </c>
      <c r="BB66" s="98">
        <f t="shared" si="120"/>
        <v>114.49434832015811</v>
      </c>
      <c r="BC66" s="107">
        <f t="shared" si="121"/>
        <v>23.705138833992095</v>
      </c>
      <c r="BD66" s="183">
        <v>0.6</v>
      </c>
      <c r="BE66" s="109">
        <f>BF66-BE65-BE51-BE50</f>
        <v>4.799999999999998E-2</v>
      </c>
      <c r="BF66" s="167">
        <f>1-BF64-BF62-BF60-BF58-BF56</f>
        <v>9.9999999999999978E-2</v>
      </c>
    </row>
    <row r="67" spans="2:59" ht="13.8" x14ac:dyDescent="0.3">
      <c r="B67" s="337"/>
      <c r="C67" s="332"/>
      <c r="D67" s="300" t="s">
        <v>64</v>
      </c>
      <c r="E67" s="77" t="str">
        <f t="shared" ref="E67:E68" si="134">E54</f>
        <v>Ø</v>
      </c>
      <c r="F67" s="141"/>
      <c r="G67" s="142"/>
      <c r="H67" s="143"/>
      <c r="I67" s="144"/>
      <c r="J67" s="145"/>
      <c r="K67" s="144"/>
      <c r="L67" s="146"/>
      <c r="M67" s="144"/>
      <c r="N67" s="145"/>
      <c r="O67" s="144"/>
      <c r="P67" s="146"/>
      <c r="Q67" s="144"/>
      <c r="R67" s="145"/>
      <c r="S67" s="144"/>
      <c r="T67" s="146"/>
      <c r="U67" s="144"/>
      <c r="V67" s="145"/>
      <c r="W67" s="144"/>
      <c r="X67" s="146"/>
      <c r="Y67" s="144"/>
      <c r="Z67" s="145"/>
      <c r="AA67" s="144"/>
      <c r="AB67" s="146"/>
      <c r="AC67" s="144"/>
      <c r="AD67" s="145"/>
      <c r="AE67" s="144"/>
      <c r="AF67" s="146"/>
      <c r="AG67" s="144"/>
      <c r="AH67" s="145"/>
      <c r="AI67" s="144"/>
      <c r="AJ67" s="146"/>
      <c r="AK67" s="144"/>
      <c r="AL67" s="145"/>
      <c r="AM67" s="144"/>
      <c r="AN67" s="146"/>
      <c r="AO67" s="144"/>
      <c r="AP67" s="145"/>
      <c r="AQ67" s="144"/>
      <c r="AR67" s="146"/>
      <c r="AS67" s="144"/>
      <c r="AT67" s="147"/>
      <c r="AU67" s="147"/>
      <c r="AV67" s="148"/>
      <c r="AW67" s="144"/>
      <c r="AX67" s="148"/>
      <c r="AY67" s="148"/>
      <c r="AZ67" s="144"/>
      <c r="BA67" s="144"/>
      <c r="BB67" s="149"/>
      <c r="BC67" s="164">
        <f>(BC55*BE55+BC57*BE57+BC59*BE59+BC61*BE61+BC63*BE63+BC65*BE65)/(BE55+BE57+BE59+BE61+BE63+BE65)</f>
        <v>46.366033164192977</v>
      </c>
      <c r="BD67" s="150"/>
      <c r="BE67" s="92">
        <f>BE55+BE57+BE59+BE61+BE63+BE65</f>
        <v>0.20399993</v>
      </c>
    </row>
    <row r="68" spans="2:59" ht="14.4" thickBot="1" x14ac:dyDescent="0.35">
      <c r="B68" s="337"/>
      <c r="C68" s="332"/>
      <c r="D68" s="301"/>
      <c r="E68" s="126" t="str">
        <f t="shared" si="134"/>
        <v>ja</v>
      </c>
      <c r="F68" s="151"/>
      <c r="G68" s="152"/>
      <c r="H68" s="153"/>
      <c r="I68" s="74"/>
      <c r="J68" s="154"/>
      <c r="K68" s="74"/>
      <c r="L68" s="155"/>
      <c r="M68" s="74"/>
      <c r="N68" s="154"/>
      <c r="O68" s="74"/>
      <c r="P68" s="155"/>
      <c r="Q68" s="74"/>
      <c r="R68" s="154"/>
      <c r="S68" s="74"/>
      <c r="T68" s="155"/>
      <c r="U68" s="74"/>
      <c r="V68" s="154"/>
      <c r="W68" s="74"/>
      <c r="X68" s="155"/>
      <c r="Y68" s="74"/>
      <c r="Z68" s="154"/>
      <c r="AA68" s="74"/>
      <c r="AB68" s="155"/>
      <c r="AC68" s="74"/>
      <c r="AD68" s="154"/>
      <c r="AE68" s="74"/>
      <c r="AF68" s="155"/>
      <c r="AG68" s="74"/>
      <c r="AH68" s="154"/>
      <c r="AI68" s="74"/>
      <c r="AJ68" s="155"/>
      <c r="AK68" s="74"/>
      <c r="AL68" s="154"/>
      <c r="AM68" s="74"/>
      <c r="AN68" s="155"/>
      <c r="AO68" s="74"/>
      <c r="AP68" s="154"/>
      <c r="AQ68" s="74"/>
      <c r="AR68" s="155"/>
      <c r="AS68" s="74"/>
      <c r="AT68" s="156"/>
      <c r="AU68" s="156"/>
      <c r="AV68" s="157"/>
      <c r="AW68" s="74"/>
      <c r="AX68" s="157"/>
      <c r="AY68" s="157"/>
      <c r="AZ68" s="74"/>
      <c r="BA68" s="74"/>
      <c r="BB68" s="75"/>
      <c r="BC68" s="169">
        <f>(BC56*BE56+BC58*BE58+BC60*BE60+BC62*BE62+BC64*BE64+BC66*BE66)/(BE56+BE58+BE60+BE62+BE64+BE66)</f>
        <v>23.53917390365644</v>
      </c>
      <c r="BD68" s="158"/>
      <c r="BE68" s="140">
        <f>BE56+BE58+BE60+BE62+BE64+BE66</f>
        <v>0.14599970000000001</v>
      </c>
    </row>
    <row r="69" spans="2:59" ht="14.4" thickBot="1" x14ac:dyDescent="0.35">
      <c r="B69" s="338"/>
      <c r="C69" s="333"/>
      <c r="D69" s="317"/>
      <c r="E69" s="159" t="s">
        <v>65</v>
      </c>
      <c r="F69" s="17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71"/>
      <c r="BC69" s="172">
        <f>(BC67*BE67+BC68*BE68)/(BE67+BE68)</f>
        <v>36.843981372365214</v>
      </c>
      <c r="BD69" s="162"/>
      <c r="BE69" s="163">
        <f>BE67+BE68</f>
        <v>0.34999963000000001</v>
      </c>
    </row>
    <row r="70" spans="2:59" ht="16.2" thickBot="1" x14ac:dyDescent="0.35">
      <c r="B70" s="173" t="s">
        <v>67</v>
      </c>
      <c r="C70" s="174"/>
      <c r="D70" s="174"/>
      <c r="E70" s="175"/>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6"/>
      <c r="BC70" s="177">
        <f>BC54*(BE54)+BC69*(BE69)</f>
        <v>59.513680920002976</v>
      </c>
      <c r="BD70" s="178"/>
      <c r="BE70" s="179"/>
    </row>
    <row r="71" spans="2:59" s="182" customFormat="1" ht="13.8" x14ac:dyDescent="0.3">
      <c r="B71" s="308" t="s">
        <v>60</v>
      </c>
      <c r="C71" s="331" t="s">
        <v>57</v>
      </c>
      <c r="D71" s="320" t="s">
        <v>56</v>
      </c>
      <c r="E71" s="77" t="str">
        <f t="shared" ref="E71:E82" si="135">E55</f>
        <v>ja</v>
      </c>
      <c r="F71" s="78"/>
      <c r="G71" s="79">
        <v>0</v>
      </c>
      <c r="H71" s="80">
        <v>0</v>
      </c>
      <c r="I71" s="90">
        <f t="shared" ref="I71:I118" si="136">IF(G71=0,0,G71*H71+$H$5+$H$6)</f>
        <v>0</v>
      </c>
      <c r="J71" s="82">
        <v>0.1</v>
      </c>
      <c r="K71" s="90">
        <f t="shared" ref="K71:K82" si="137">J71*(J$10*$C$6+L$10)</f>
        <v>12.097000000000001</v>
      </c>
      <c r="L71" s="84">
        <v>0.3</v>
      </c>
      <c r="M71" s="90">
        <f t="shared" ref="M71:M82" si="138">L71*(J$10*$C$6+L$10)</f>
        <v>36.290999999999997</v>
      </c>
      <c r="N71" s="82">
        <v>0.9</v>
      </c>
      <c r="O71" s="90">
        <f t="shared" ref="O71:O82" si="139">N71*(N$10*$C$6+P$10)</f>
        <v>41.536636363636362</v>
      </c>
      <c r="P71" s="84">
        <v>1</v>
      </c>
      <c r="Q71" s="90">
        <f t="shared" ref="Q71:Q82" si="140">P71*(N$10*$C$6+P$10)</f>
        <v>46.151818181818179</v>
      </c>
      <c r="R71" s="82">
        <v>0.5</v>
      </c>
      <c r="S71" s="90">
        <f t="shared" ref="S71:S82" si="141">R71*(R$10*$C$6+T$10)</f>
        <v>22.318695652173915</v>
      </c>
      <c r="T71" s="84">
        <v>1</v>
      </c>
      <c r="U71" s="90">
        <f t="shared" ref="U71:U82" si="142">T71*(R$10*$C$6+T$10)</f>
        <v>44.63739130434783</v>
      </c>
      <c r="V71" s="82"/>
      <c r="W71" s="90">
        <f t="shared" ref="W71:W82" si="143">V71*(V$10*$C$6+X$10)</f>
        <v>0</v>
      </c>
      <c r="X71" s="84"/>
      <c r="Y71" s="90">
        <f t="shared" ref="Y71:Y82" si="144">X71*(V$10*$C$6+X$10)</f>
        <v>0</v>
      </c>
      <c r="Z71" s="82">
        <v>0.3</v>
      </c>
      <c r="AA71" s="90">
        <f t="shared" ref="AA71:AA82" si="145">Z71*(Z$10*$C$6+AB$10)</f>
        <v>14.022142857142855</v>
      </c>
      <c r="AB71" s="84">
        <v>1</v>
      </c>
      <c r="AC71" s="90">
        <f t="shared" ref="AC71:AC82" si="146">AB71*(Z$10*$C$6+AB$10)</f>
        <v>46.740476190476187</v>
      </c>
      <c r="AD71" s="82"/>
      <c r="AE71" s="90">
        <f t="shared" ref="AE71:AE82" si="147">AD71*(AD$10*$C$6+AF$10)</f>
        <v>0</v>
      </c>
      <c r="AF71" s="84"/>
      <c r="AG71" s="90">
        <f t="shared" ref="AG71:AG82" si="148">AF71*(AD$10*$C$6+AF$10)</f>
        <v>0</v>
      </c>
      <c r="AH71" s="82"/>
      <c r="AI71" s="90">
        <f t="shared" ref="AI71:AI82" si="149">AH71*(AH$10*$C$6+AJ$10)</f>
        <v>0</v>
      </c>
      <c r="AJ71" s="84"/>
      <c r="AK71" s="90">
        <f t="shared" ref="AK71:AK82" si="150">AJ71*(AH$10*$C$6+AJ$10)</f>
        <v>0</v>
      </c>
      <c r="AL71" s="82"/>
      <c r="AM71" s="90">
        <f t="shared" ref="AM71:AM82" si="151">AL71*(AL$10*$C$6+AN$10)</f>
        <v>0</v>
      </c>
      <c r="AN71" s="84"/>
      <c r="AO71" s="90">
        <f t="shared" ref="AO71:AO82" si="152">AN71*(AL$10*$C$6+AN$10)</f>
        <v>0</v>
      </c>
      <c r="AP71" s="82"/>
      <c r="AQ71" s="90">
        <f t="shared" ref="AQ71:AQ82" si="153">AP71*(AP$10*$C$6+AR$10)</f>
        <v>0</v>
      </c>
      <c r="AR71" s="84"/>
      <c r="AS71" s="90">
        <f t="shared" ref="AS71:AS82" si="154">AR71*(AP$10*$C$6+AR$10)</f>
        <v>0</v>
      </c>
      <c r="AT71" s="85">
        <v>0</v>
      </c>
      <c r="AU71" s="86">
        <f>AT71*0.9</f>
        <v>0</v>
      </c>
      <c r="AV71" s="87">
        <v>0</v>
      </c>
      <c r="AW71" s="90">
        <f t="shared" ref="AW71:AW118" si="155">AV71*(AT71-AU71)</f>
        <v>0</v>
      </c>
      <c r="AX71" s="88">
        <v>0</v>
      </c>
      <c r="AY71" s="89">
        <f t="shared" ref="AY71:AY118" si="156">AV71-AX71</f>
        <v>0</v>
      </c>
      <c r="AZ71" s="90">
        <f>(AV71-AY71)*AU71</f>
        <v>0</v>
      </c>
      <c r="BA71" s="90">
        <f t="shared" ref="BA71:BA118" si="157">IF(SUM(AO71+AD71+Z71+V71+R71+N71+J71)=0,0,K71+O71+S71+W71+AA71+AE71+AH71+AL71+AP71+AX71)</f>
        <v>89.974474872953124</v>
      </c>
      <c r="BB71" s="90">
        <f t="shared" ref="BB71:BB118" si="158">IF(SUM(AR71+AF71+AB71+X71+T71+P71+L71)=0,0,I71+M71+Q71+U71+Y71+AC71+AG71+AK71+AO71+AS71+AW71+AZ71-$H$8)</f>
        <v>129.05531067664219</v>
      </c>
      <c r="BC71" s="164">
        <f t="shared" ref="BC71:BC118" si="159">IF(BB71-BA71&gt;0,BB71-BA71,0)</f>
        <v>39.08083580368907</v>
      </c>
      <c r="BD71" s="181">
        <v>0.6</v>
      </c>
      <c r="BE71" s="92">
        <f>0.4*BD71*BF87</f>
        <v>1.2E-2</v>
      </c>
      <c r="BG71" s="4"/>
    </row>
    <row r="72" spans="2:59" s="182" customFormat="1" ht="13.8" x14ac:dyDescent="0.3">
      <c r="B72" s="309"/>
      <c r="C72" s="332"/>
      <c r="D72" s="321"/>
      <c r="E72" s="94" t="str">
        <f t="shared" si="135"/>
        <v>nein</v>
      </c>
      <c r="F72" s="95"/>
      <c r="G72" s="96">
        <v>0</v>
      </c>
      <c r="H72" s="97">
        <v>0</v>
      </c>
      <c r="I72" s="107">
        <f t="shared" si="136"/>
        <v>0</v>
      </c>
      <c r="J72" s="99">
        <v>0</v>
      </c>
      <c r="K72" s="107">
        <f t="shared" si="137"/>
        <v>0</v>
      </c>
      <c r="L72" s="101"/>
      <c r="M72" s="107">
        <f t="shared" si="138"/>
        <v>0</v>
      </c>
      <c r="N72" s="99">
        <v>1</v>
      </c>
      <c r="O72" s="107">
        <f t="shared" si="139"/>
        <v>46.151818181818179</v>
      </c>
      <c r="P72" s="101">
        <v>2</v>
      </c>
      <c r="Q72" s="107">
        <f t="shared" si="140"/>
        <v>92.303636363636357</v>
      </c>
      <c r="R72" s="99">
        <v>0.5</v>
      </c>
      <c r="S72" s="107">
        <f t="shared" si="141"/>
        <v>22.318695652173915</v>
      </c>
      <c r="T72" s="101">
        <v>1.3</v>
      </c>
      <c r="U72" s="107">
        <f t="shared" si="142"/>
        <v>58.028608695652181</v>
      </c>
      <c r="V72" s="99"/>
      <c r="W72" s="107">
        <f t="shared" si="143"/>
        <v>0</v>
      </c>
      <c r="X72" s="101"/>
      <c r="Y72" s="107">
        <f t="shared" si="144"/>
        <v>0</v>
      </c>
      <c r="Z72" s="99">
        <v>0.5</v>
      </c>
      <c r="AA72" s="107">
        <f t="shared" si="145"/>
        <v>23.370238095238093</v>
      </c>
      <c r="AB72" s="101">
        <v>1</v>
      </c>
      <c r="AC72" s="107">
        <f t="shared" si="146"/>
        <v>46.740476190476187</v>
      </c>
      <c r="AD72" s="99"/>
      <c r="AE72" s="107">
        <f t="shared" si="147"/>
        <v>0</v>
      </c>
      <c r="AF72" s="101"/>
      <c r="AG72" s="107">
        <f t="shared" si="148"/>
        <v>0</v>
      </c>
      <c r="AH72" s="99"/>
      <c r="AI72" s="107">
        <f t="shared" si="149"/>
        <v>0</v>
      </c>
      <c r="AJ72" s="101"/>
      <c r="AK72" s="107">
        <f t="shared" si="150"/>
        <v>0</v>
      </c>
      <c r="AL72" s="99"/>
      <c r="AM72" s="107">
        <f t="shared" si="151"/>
        <v>0</v>
      </c>
      <c r="AN72" s="101"/>
      <c r="AO72" s="107">
        <f t="shared" si="152"/>
        <v>0</v>
      </c>
      <c r="AP72" s="99"/>
      <c r="AQ72" s="107">
        <f t="shared" si="153"/>
        <v>0</v>
      </c>
      <c r="AR72" s="101"/>
      <c r="AS72" s="107">
        <f t="shared" si="154"/>
        <v>0</v>
      </c>
      <c r="AT72" s="102">
        <f>AT71</f>
        <v>0</v>
      </c>
      <c r="AU72" s="103">
        <f t="shared" ref="AU72" si="160">AT72*0.9</f>
        <v>0</v>
      </c>
      <c r="AV72" s="104">
        <f>AV71</f>
        <v>0</v>
      </c>
      <c r="AW72" s="107">
        <f t="shared" si="155"/>
        <v>0</v>
      </c>
      <c r="AX72" s="105">
        <f>AX71</f>
        <v>0</v>
      </c>
      <c r="AY72" s="106">
        <f t="shared" si="156"/>
        <v>0</v>
      </c>
      <c r="AZ72" s="107">
        <f t="shared" ref="AZ72" si="161">(AV72-AY72)*AU72</f>
        <v>0</v>
      </c>
      <c r="BA72" s="107">
        <f t="shared" si="157"/>
        <v>91.840751929230194</v>
      </c>
      <c r="BB72" s="107">
        <f t="shared" si="158"/>
        <v>152.30734624976472</v>
      </c>
      <c r="BC72" s="107">
        <f t="shared" si="159"/>
        <v>60.466594320534526</v>
      </c>
      <c r="BD72" s="183">
        <v>0.4</v>
      </c>
      <c r="BE72" s="109">
        <f>0.4*BD72*BF87</f>
        <v>8.0000000000000019E-3</v>
      </c>
      <c r="BF72" s="4"/>
      <c r="BG72" s="4"/>
    </row>
    <row r="73" spans="2:59" ht="13.8" x14ac:dyDescent="0.3">
      <c r="B73" s="309"/>
      <c r="C73" s="332"/>
      <c r="D73" s="328" t="s">
        <v>58</v>
      </c>
      <c r="E73" s="187" t="str">
        <f t="shared" si="135"/>
        <v>ja</v>
      </c>
      <c r="F73" s="188"/>
      <c r="G73" s="189">
        <v>0</v>
      </c>
      <c r="H73" s="190">
        <v>0</v>
      </c>
      <c r="I73" s="118">
        <f t="shared" si="136"/>
        <v>0</v>
      </c>
      <c r="J73" s="192">
        <v>0.6</v>
      </c>
      <c r="K73" s="118">
        <f t="shared" si="137"/>
        <v>72.581999999999994</v>
      </c>
      <c r="L73" s="201">
        <v>0.8</v>
      </c>
      <c r="M73" s="118">
        <f t="shared" si="138"/>
        <v>96.77600000000001</v>
      </c>
      <c r="N73" s="192">
        <v>0.4</v>
      </c>
      <c r="O73" s="118">
        <f t="shared" si="139"/>
        <v>18.460727272727272</v>
      </c>
      <c r="P73" s="201">
        <v>1.5</v>
      </c>
      <c r="Q73" s="118">
        <f t="shared" si="140"/>
        <v>69.227727272727265</v>
      </c>
      <c r="R73" s="192">
        <v>1</v>
      </c>
      <c r="S73" s="118">
        <f t="shared" si="141"/>
        <v>44.63739130434783</v>
      </c>
      <c r="T73" s="201">
        <v>1.5</v>
      </c>
      <c r="U73" s="118">
        <f t="shared" si="142"/>
        <v>66.956086956521744</v>
      </c>
      <c r="V73" s="192"/>
      <c r="W73" s="118">
        <f t="shared" si="143"/>
        <v>0</v>
      </c>
      <c r="X73" s="201"/>
      <c r="Y73" s="118">
        <f t="shared" si="144"/>
        <v>0</v>
      </c>
      <c r="Z73" s="192">
        <v>1.3</v>
      </c>
      <c r="AA73" s="118">
        <f t="shared" si="145"/>
        <v>60.762619047619047</v>
      </c>
      <c r="AB73" s="201">
        <v>2</v>
      </c>
      <c r="AC73" s="118">
        <f t="shared" si="146"/>
        <v>93.480952380952374</v>
      </c>
      <c r="AD73" s="192"/>
      <c r="AE73" s="118">
        <f t="shared" si="147"/>
        <v>0</v>
      </c>
      <c r="AF73" s="201"/>
      <c r="AG73" s="118">
        <f t="shared" si="148"/>
        <v>0</v>
      </c>
      <c r="AH73" s="192"/>
      <c r="AI73" s="118">
        <f t="shared" si="149"/>
        <v>0</v>
      </c>
      <c r="AJ73" s="201"/>
      <c r="AK73" s="118">
        <f t="shared" si="150"/>
        <v>0</v>
      </c>
      <c r="AL73" s="192"/>
      <c r="AM73" s="118">
        <f t="shared" si="151"/>
        <v>0</v>
      </c>
      <c r="AN73" s="201"/>
      <c r="AO73" s="118">
        <f t="shared" si="152"/>
        <v>0</v>
      </c>
      <c r="AP73" s="192"/>
      <c r="AQ73" s="118">
        <f t="shared" si="153"/>
        <v>0</v>
      </c>
      <c r="AR73" s="201"/>
      <c r="AS73" s="118">
        <f t="shared" si="154"/>
        <v>0</v>
      </c>
      <c r="AT73" s="194">
        <v>0</v>
      </c>
      <c r="AU73" s="195">
        <f>AT73*0.9</f>
        <v>0</v>
      </c>
      <c r="AV73" s="196">
        <f>AV86</f>
        <v>0</v>
      </c>
      <c r="AW73" s="118">
        <f t="shared" si="155"/>
        <v>0</v>
      </c>
      <c r="AX73" s="197">
        <v>0</v>
      </c>
      <c r="AY73" s="123">
        <f t="shared" si="156"/>
        <v>0</v>
      </c>
      <c r="AZ73" s="118">
        <f>(AV73-AY73)*AU73</f>
        <v>0</v>
      </c>
      <c r="BA73" s="118">
        <f t="shared" si="157"/>
        <v>196.44273762469413</v>
      </c>
      <c r="BB73" s="118">
        <f t="shared" si="158"/>
        <v>281.67539161020142</v>
      </c>
      <c r="BC73" s="166">
        <f t="shared" si="159"/>
        <v>85.232653985507284</v>
      </c>
      <c r="BD73" s="199">
        <v>0.7</v>
      </c>
      <c r="BE73" s="200">
        <f>0.75*BD73*BF89</f>
        <v>0.10499999999999998</v>
      </c>
    </row>
    <row r="74" spans="2:59" ht="13.8" x14ac:dyDescent="0.3">
      <c r="B74" s="309"/>
      <c r="C74" s="332"/>
      <c r="D74" s="321"/>
      <c r="E74" s="94" t="str">
        <f t="shared" si="135"/>
        <v>nein</v>
      </c>
      <c r="F74" s="95"/>
      <c r="G74" s="96">
        <v>0</v>
      </c>
      <c r="H74" s="97">
        <v>0</v>
      </c>
      <c r="I74" s="98">
        <f t="shared" si="136"/>
        <v>0</v>
      </c>
      <c r="J74" s="99"/>
      <c r="K74" s="98">
        <f t="shared" si="137"/>
        <v>0</v>
      </c>
      <c r="L74" s="101"/>
      <c r="M74" s="98">
        <f t="shared" si="138"/>
        <v>0</v>
      </c>
      <c r="N74" s="99">
        <v>1</v>
      </c>
      <c r="O74" s="98">
        <f t="shared" si="139"/>
        <v>46.151818181818179</v>
      </c>
      <c r="P74" s="101">
        <v>2.5</v>
      </c>
      <c r="Q74" s="98">
        <f t="shared" si="140"/>
        <v>115.37954545454545</v>
      </c>
      <c r="R74" s="99">
        <v>1</v>
      </c>
      <c r="S74" s="98">
        <f t="shared" si="141"/>
        <v>44.63739130434783</v>
      </c>
      <c r="T74" s="101">
        <v>1.5</v>
      </c>
      <c r="U74" s="98">
        <f t="shared" si="142"/>
        <v>66.956086956521744</v>
      </c>
      <c r="V74" s="99"/>
      <c r="W74" s="98">
        <f t="shared" si="143"/>
        <v>0</v>
      </c>
      <c r="X74" s="101"/>
      <c r="Y74" s="98">
        <f t="shared" si="144"/>
        <v>0</v>
      </c>
      <c r="Z74" s="99">
        <v>1.5</v>
      </c>
      <c r="AA74" s="98">
        <f t="shared" si="145"/>
        <v>70.11071428571428</v>
      </c>
      <c r="AB74" s="101">
        <v>2</v>
      </c>
      <c r="AC74" s="98">
        <f t="shared" si="146"/>
        <v>93.480952380952374</v>
      </c>
      <c r="AD74" s="99"/>
      <c r="AE74" s="98">
        <f t="shared" si="147"/>
        <v>0</v>
      </c>
      <c r="AF74" s="101"/>
      <c r="AG74" s="98">
        <f t="shared" si="148"/>
        <v>0</v>
      </c>
      <c r="AH74" s="99"/>
      <c r="AI74" s="98">
        <f t="shared" si="149"/>
        <v>0</v>
      </c>
      <c r="AJ74" s="101"/>
      <c r="AK74" s="98">
        <f t="shared" si="150"/>
        <v>0</v>
      </c>
      <c r="AL74" s="99"/>
      <c r="AM74" s="98">
        <f t="shared" si="151"/>
        <v>0</v>
      </c>
      <c r="AN74" s="101"/>
      <c r="AO74" s="98">
        <f t="shared" si="152"/>
        <v>0</v>
      </c>
      <c r="AP74" s="99"/>
      <c r="AQ74" s="98">
        <f t="shared" si="153"/>
        <v>0</v>
      </c>
      <c r="AR74" s="101"/>
      <c r="AS74" s="98">
        <f t="shared" si="154"/>
        <v>0</v>
      </c>
      <c r="AT74" s="102">
        <f>AT73</f>
        <v>0</v>
      </c>
      <c r="AU74" s="103">
        <f t="shared" ref="AU74" si="162">AT74*0.9</f>
        <v>0</v>
      </c>
      <c r="AV74" s="104">
        <f>AV73</f>
        <v>0</v>
      </c>
      <c r="AW74" s="98">
        <f t="shared" si="155"/>
        <v>0</v>
      </c>
      <c r="AX74" s="105">
        <f>AX73</f>
        <v>0</v>
      </c>
      <c r="AY74" s="106">
        <f t="shared" si="156"/>
        <v>0</v>
      </c>
      <c r="AZ74" s="98">
        <f t="shared" ref="AZ74" si="163">(AV74-AY74)*AU74</f>
        <v>0</v>
      </c>
      <c r="BA74" s="98">
        <f t="shared" si="157"/>
        <v>160.89992377188031</v>
      </c>
      <c r="BB74" s="98">
        <f t="shared" si="158"/>
        <v>231.05120979201956</v>
      </c>
      <c r="BC74" s="107">
        <f t="shared" si="159"/>
        <v>70.151286020139253</v>
      </c>
      <c r="BD74" s="183">
        <v>0.3</v>
      </c>
      <c r="BE74" s="109">
        <f>0.75*BD74*BF89</f>
        <v>4.4999999999999998E-2</v>
      </c>
    </row>
    <row r="75" spans="2:59" ht="13.8" x14ac:dyDescent="0.3">
      <c r="B75" s="309"/>
      <c r="C75" s="332"/>
      <c r="D75" s="322" t="s">
        <v>60</v>
      </c>
      <c r="E75" s="187" t="str">
        <f t="shared" si="135"/>
        <v>ja</v>
      </c>
      <c r="F75" s="188"/>
      <c r="G75" s="189">
        <v>0</v>
      </c>
      <c r="H75" s="190">
        <v>0</v>
      </c>
      <c r="I75" s="118">
        <f t="shared" si="136"/>
        <v>0</v>
      </c>
      <c r="J75" s="192">
        <v>0.7</v>
      </c>
      <c r="K75" s="118">
        <f t="shared" si="137"/>
        <v>84.678999999999988</v>
      </c>
      <c r="L75" s="201">
        <v>0.9</v>
      </c>
      <c r="M75" s="118">
        <f t="shared" si="138"/>
        <v>108.873</v>
      </c>
      <c r="N75" s="192">
        <v>0.3</v>
      </c>
      <c r="O75" s="118">
        <f t="shared" si="139"/>
        <v>13.845545454545453</v>
      </c>
      <c r="P75" s="201">
        <v>1.5</v>
      </c>
      <c r="Q75" s="118">
        <f t="shared" si="140"/>
        <v>69.227727272727265</v>
      </c>
      <c r="R75" s="192">
        <v>1</v>
      </c>
      <c r="S75" s="118">
        <f t="shared" si="141"/>
        <v>44.63739130434783</v>
      </c>
      <c r="T75" s="201">
        <v>1</v>
      </c>
      <c r="U75" s="118">
        <f t="shared" si="142"/>
        <v>44.63739130434783</v>
      </c>
      <c r="V75" s="192"/>
      <c r="W75" s="118">
        <f t="shared" si="143"/>
        <v>0</v>
      </c>
      <c r="X75" s="201"/>
      <c r="Y75" s="118">
        <f t="shared" si="144"/>
        <v>0</v>
      </c>
      <c r="Z75" s="192">
        <v>0.3</v>
      </c>
      <c r="AA75" s="118">
        <f t="shared" si="145"/>
        <v>14.022142857142855</v>
      </c>
      <c r="AB75" s="201">
        <v>1</v>
      </c>
      <c r="AC75" s="118">
        <f t="shared" si="146"/>
        <v>46.740476190476187</v>
      </c>
      <c r="AD75" s="192"/>
      <c r="AE75" s="118">
        <f t="shared" si="147"/>
        <v>0</v>
      </c>
      <c r="AF75" s="201"/>
      <c r="AG75" s="118">
        <f t="shared" si="148"/>
        <v>0</v>
      </c>
      <c r="AH75" s="192"/>
      <c r="AI75" s="118">
        <f t="shared" si="149"/>
        <v>0</v>
      </c>
      <c r="AJ75" s="201"/>
      <c r="AK75" s="118">
        <f t="shared" si="150"/>
        <v>0</v>
      </c>
      <c r="AL75" s="192"/>
      <c r="AM75" s="118">
        <f t="shared" si="151"/>
        <v>0</v>
      </c>
      <c r="AN75" s="201"/>
      <c r="AO75" s="118">
        <f t="shared" si="152"/>
        <v>0</v>
      </c>
      <c r="AP75" s="192"/>
      <c r="AQ75" s="118">
        <f t="shared" si="153"/>
        <v>0</v>
      </c>
      <c r="AR75" s="201"/>
      <c r="AS75" s="118">
        <f t="shared" si="154"/>
        <v>0</v>
      </c>
      <c r="AT75" s="194">
        <v>0</v>
      </c>
      <c r="AU75" s="195">
        <f>AT75*0.9</f>
        <v>0</v>
      </c>
      <c r="AV75" s="196">
        <f>AV88</f>
        <v>0</v>
      </c>
      <c r="AW75" s="118">
        <f t="shared" si="155"/>
        <v>0</v>
      </c>
      <c r="AX75" s="197">
        <v>0</v>
      </c>
      <c r="AY75" s="123">
        <f t="shared" si="156"/>
        <v>0</v>
      </c>
      <c r="AZ75" s="118">
        <f>(AV75-AY75)*AU75</f>
        <v>0</v>
      </c>
      <c r="BA75" s="118">
        <f t="shared" si="157"/>
        <v>157.18407961603612</v>
      </c>
      <c r="BB75" s="118">
        <f t="shared" si="158"/>
        <v>224.71321976755127</v>
      </c>
      <c r="BC75" s="166">
        <f t="shared" si="159"/>
        <v>67.529140151515151</v>
      </c>
      <c r="BD75" s="199">
        <v>0.6</v>
      </c>
      <c r="BE75" s="200">
        <f>0.66667*BD75*BF91</f>
        <v>2.00001E-2</v>
      </c>
    </row>
    <row r="76" spans="2:59" ht="13.8" x14ac:dyDescent="0.3">
      <c r="B76" s="309"/>
      <c r="C76" s="332"/>
      <c r="D76" s="323"/>
      <c r="E76" s="94" t="str">
        <f t="shared" si="135"/>
        <v>nein</v>
      </c>
      <c r="F76" s="95"/>
      <c r="G76" s="96">
        <v>0</v>
      </c>
      <c r="H76" s="97">
        <v>0</v>
      </c>
      <c r="I76" s="98">
        <f t="shared" si="136"/>
        <v>0</v>
      </c>
      <c r="J76" s="99"/>
      <c r="K76" s="98">
        <f t="shared" si="137"/>
        <v>0</v>
      </c>
      <c r="L76" s="101"/>
      <c r="M76" s="98">
        <f t="shared" si="138"/>
        <v>0</v>
      </c>
      <c r="N76" s="99">
        <v>1</v>
      </c>
      <c r="O76" s="98">
        <f t="shared" si="139"/>
        <v>46.151818181818179</v>
      </c>
      <c r="P76" s="101">
        <v>2.5</v>
      </c>
      <c r="Q76" s="98">
        <f t="shared" si="140"/>
        <v>115.37954545454545</v>
      </c>
      <c r="R76" s="99">
        <v>1</v>
      </c>
      <c r="S76" s="98">
        <f t="shared" si="141"/>
        <v>44.63739130434783</v>
      </c>
      <c r="T76" s="101">
        <v>1.5</v>
      </c>
      <c r="U76" s="98">
        <f t="shared" si="142"/>
        <v>66.956086956521744</v>
      </c>
      <c r="V76" s="99"/>
      <c r="W76" s="98">
        <f t="shared" si="143"/>
        <v>0</v>
      </c>
      <c r="X76" s="101"/>
      <c r="Y76" s="98">
        <f t="shared" si="144"/>
        <v>0</v>
      </c>
      <c r="Z76" s="99">
        <v>0.5</v>
      </c>
      <c r="AA76" s="98">
        <f t="shared" si="145"/>
        <v>23.370238095238093</v>
      </c>
      <c r="AB76" s="101">
        <v>1</v>
      </c>
      <c r="AC76" s="98">
        <f t="shared" si="146"/>
        <v>46.740476190476187</v>
      </c>
      <c r="AD76" s="99"/>
      <c r="AE76" s="98">
        <f t="shared" si="147"/>
        <v>0</v>
      </c>
      <c r="AF76" s="101"/>
      <c r="AG76" s="98">
        <f t="shared" si="148"/>
        <v>0</v>
      </c>
      <c r="AH76" s="99"/>
      <c r="AI76" s="98">
        <f t="shared" si="149"/>
        <v>0</v>
      </c>
      <c r="AJ76" s="101"/>
      <c r="AK76" s="98">
        <f t="shared" si="150"/>
        <v>0</v>
      </c>
      <c r="AL76" s="99"/>
      <c r="AM76" s="98">
        <f t="shared" si="151"/>
        <v>0</v>
      </c>
      <c r="AN76" s="101"/>
      <c r="AO76" s="98">
        <f t="shared" si="152"/>
        <v>0</v>
      </c>
      <c r="AP76" s="99"/>
      <c r="AQ76" s="98">
        <f t="shared" si="153"/>
        <v>0</v>
      </c>
      <c r="AR76" s="101"/>
      <c r="AS76" s="98">
        <f t="shared" si="154"/>
        <v>0</v>
      </c>
      <c r="AT76" s="102">
        <f>AT75</f>
        <v>0</v>
      </c>
      <c r="AU76" s="103">
        <f t="shared" ref="AU76" si="164">AT76*0.9</f>
        <v>0</v>
      </c>
      <c r="AV76" s="104">
        <f>AV75</f>
        <v>0</v>
      </c>
      <c r="AW76" s="98">
        <f t="shared" si="155"/>
        <v>0</v>
      </c>
      <c r="AX76" s="105">
        <f>AX75</f>
        <v>0</v>
      </c>
      <c r="AY76" s="106">
        <f t="shared" si="156"/>
        <v>0</v>
      </c>
      <c r="AZ76" s="98">
        <f t="shared" ref="AZ76" si="165">(AV76-AY76)*AU76</f>
        <v>0</v>
      </c>
      <c r="BA76" s="98">
        <f t="shared" si="157"/>
        <v>114.15944758140411</v>
      </c>
      <c r="BB76" s="98">
        <f t="shared" si="158"/>
        <v>184.31073360154338</v>
      </c>
      <c r="BC76" s="107">
        <f t="shared" si="159"/>
        <v>70.151286020139267</v>
      </c>
      <c r="BD76" s="183">
        <v>0.4</v>
      </c>
      <c r="BE76" s="109">
        <f>0.66667*BD76*BF91</f>
        <v>1.3333400000000002E-2</v>
      </c>
    </row>
    <row r="77" spans="2:59" s="2" customFormat="1" ht="15.6" x14ac:dyDescent="0.3">
      <c r="B77" s="309"/>
      <c r="C77" s="332"/>
      <c r="D77" s="324" t="s">
        <v>61</v>
      </c>
      <c r="E77" s="187" t="str">
        <f t="shared" si="135"/>
        <v>ja</v>
      </c>
      <c r="F77" s="188"/>
      <c r="G77" s="189">
        <v>0</v>
      </c>
      <c r="H77" s="190">
        <v>0</v>
      </c>
      <c r="I77" s="118">
        <f t="shared" si="136"/>
        <v>0</v>
      </c>
      <c r="J77" s="192">
        <v>0.7</v>
      </c>
      <c r="K77" s="118">
        <f t="shared" si="137"/>
        <v>84.678999999999988</v>
      </c>
      <c r="L77" s="201">
        <v>0.9</v>
      </c>
      <c r="M77" s="118">
        <f t="shared" si="138"/>
        <v>108.873</v>
      </c>
      <c r="N77" s="192">
        <v>0.3</v>
      </c>
      <c r="O77" s="118">
        <f t="shared" si="139"/>
        <v>13.845545454545453</v>
      </c>
      <c r="P77" s="201">
        <v>1.5</v>
      </c>
      <c r="Q77" s="118">
        <f t="shared" si="140"/>
        <v>69.227727272727265</v>
      </c>
      <c r="R77" s="192">
        <v>1</v>
      </c>
      <c r="S77" s="118">
        <f t="shared" si="141"/>
        <v>44.63739130434783</v>
      </c>
      <c r="T77" s="201">
        <v>1</v>
      </c>
      <c r="U77" s="118">
        <f t="shared" si="142"/>
        <v>44.63739130434783</v>
      </c>
      <c r="V77" s="192"/>
      <c r="W77" s="118">
        <f t="shared" si="143"/>
        <v>0</v>
      </c>
      <c r="X77" s="201"/>
      <c r="Y77" s="118">
        <f t="shared" si="144"/>
        <v>0</v>
      </c>
      <c r="Z77" s="192">
        <v>0.3</v>
      </c>
      <c r="AA77" s="118">
        <f t="shared" si="145"/>
        <v>14.022142857142855</v>
      </c>
      <c r="AB77" s="201">
        <v>1</v>
      </c>
      <c r="AC77" s="118">
        <f t="shared" si="146"/>
        <v>46.740476190476187</v>
      </c>
      <c r="AD77" s="192"/>
      <c r="AE77" s="118">
        <f t="shared" si="147"/>
        <v>0</v>
      </c>
      <c r="AF77" s="201"/>
      <c r="AG77" s="118">
        <f t="shared" si="148"/>
        <v>0</v>
      </c>
      <c r="AH77" s="192"/>
      <c r="AI77" s="118">
        <f t="shared" si="149"/>
        <v>0</v>
      </c>
      <c r="AJ77" s="201"/>
      <c r="AK77" s="118">
        <f t="shared" si="150"/>
        <v>0</v>
      </c>
      <c r="AL77" s="192"/>
      <c r="AM77" s="118">
        <f t="shared" si="151"/>
        <v>0</v>
      </c>
      <c r="AN77" s="201"/>
      <c r="AO77" s="118">
        <f t="shared" si="152"/>
        <v>0</v>
      </c>
      <c r="AP77" s="192"/>
      <c r="AQ77" s="118">
        <f t="shared" si="153"/>
        <v>0</v>
      </c>
      <c r="AR77" s="201"/>
      <c r="AS77" s="118">
        <f t="shared" si="154"/>
        <v>0</v>
      </c>
      <c r="AT77" s="194">
        <v>0</v>
      </c>
      <c r="AU77" s="195">
        <f>AT77*0.9</f>
        <v>0</v>
      </c>
      <c r="AV77" s="196">
        <f>AV75</f>
        <v>0</v>
      </c>
      <c r="AW77" s="118">
        <f t="shared" si="155"/>
        <v>0</v>
      </c>
      <c r="AX77" s="197">
        <v>0</v>
      </c>
      <c r="AY77" s="123">
        <f t="shared" si="156"/>
        <v>0</v>
      </c>
      <c r="AZ77" s="118">
        <f>(AV77-AY77)*AU77</f>
        <v>0</v>
      </c>
      <c r="BA77" s="118">
        <f t="shared" si="157"/>
        <v>157.18407961603612</v>
      </c>
      <c r="BB77" s="118">
        <f t="shared" si="158"/>
        <v>224.71321976755127</v>
      </c>
      <c r="BC77" s="166">
        <f t="shared" si="159"/>
        <v>67.529140151515151</v>
      </c>
      <c r="BD77" s="199">
        <v>0.6</v>
      </c>
      <c r="BE77" s="200">
        <f>0.7*BD77*BF93</f>
        <v>4.2000000000000003E-2</v>
      </c>
      <c r="BF77" s="185"/>
      <c r="BG77" s="185"/>
    </row>
    <row r="78" spans="2:59" s="2" customFormat="1" ht="15.6" x14ac:dyDescent="0.3">
      <c r="B78" s="309"/>
      <c r="C78" s="332"/>
      <c r="D78" s="325"/>
      <c r="E78" s="94" t="str">
        <f t="shared" si="135"/>
        <v>nein</v>
      </c>
      <c r="F78" s="95"/>
      <c r="G78" s="96">
        <v>0</v>
      </c>
      <c r="H78" s="97">
        <v>0</v>
      </c>
      <c r="I78" s="98">
        <f t="shared" si="136"/>
        <v>0</v>
      </c>
      <c r="J78" s="99"/>
      <c r="K78" s="98">
        <f t="shared" si="137"/>
        <v>0</v>
      </c>
      <c r="L78" s="101"/>
      <c r="M78" s="98">
        <f t="shared" si="138"/>
        <v>0</v>
      </c>
      <c r="N78" s="99">
        <v>1</v>
      </c>
      <c r="O78" s="98">
        <f t="shared" si="139"/>
        <v>46.151818181818179</v>
      </c>
      <c r="P78" s="101">
        <v>2.5</v>
      </c>
      <c r="Q78" s="98">
        <f t="shared" si="140"/>
        <v>115.37954545454545</v>
      </c>
      <c r="R78" s="99">
        <v>1</v>
      </c>
      <c r="S78" s="98">
        <f t="shared" si="141"/>
        <v>44.63739130434783</v>
      </c>
      <c r="T78" s="101">
        <v>1.5</v>
      </c>
      <c r="U78" s="98">
        <f t="shared" si="142"/>
        <v>66.956086956521744</v>
      </c>
      <c r="V78" s="99"/>
      <c r="W78" s="98">
        <f t="shared" si="143"/>
        <v>0</v>
      </c>
      <c r="X78" s="101"/>
      <c r="Y78" s="98">
        <f t="shared" si="144"/>
        <v>0</v>
      </c>
      <c r="Z78" s="99">
        <v>0.5</v>
      </c>
      <c r="AA78" s="98">
        <f t="shared" si="145"/>
        <v>23.370238095238093</v>
      </c>
      <c r="AB78" s="101">
        <v>1</v>
      </c>
      <c r="AC78" s="98">
        <f t="shared" si="146"/>
        <v>46.740476190476187</v>
      </c>
      <c r="AD78" s="99"/>
      <c r="AE78" s="98">
        <f t="shared" si="147"/>
        <v>0</v>
      </c>
      <c r="AF78" s="101"/>
      <c r="AG78" s="98">
        <f t="shared" si="148"/>
        <v>0</v>
      </c>
      <c r="AH78" s="99"/>
      <c r="AI78" s="98">
        <f t="shared" si="149"/>
        <v>0</v>
      </c>
      <c r="AJ78" s="101"/>
      <c r="AK78" s="98">
        <f t="shared" si="150"/>
        <v>0</v>
      </c>
      <c r="AL78" s="99"/>
      <c r="AM78" s="98">
        <f t="shared" si="151"/>
        <v>0</v>
      </c>
      <c r="AN78" s="101"/>
      <c r="AO78" s="98">
        <f t="shared" si="152"/>
        <v>0</v>
      </c>
      <c r="AP78" s="99"/>
      <c r="AQ78" s="98">
        <f t="shared" si="153"/>
        <v>0</v>
      </c>
      <c r="AR78" s="101"/>
      <c r="AS78" s="98">
        <f t="shared" si="154"/>
        <v>0</v>
      </c>
      <c r="AT78" s="102">
        <f>AT77</f>
        <v>0</v>
      </c>
      <c r="AU78" s="103">
        <f t="shared" ref="AU78" si="166">AT78*0.9</f>
        <v>0</v>
      </c>
      <c r="AV78" s="104">
        <f>AV77</f>
        <v>0</v>
      </c>
      <c r="AW78" s="98">
        <f t="shared" si="155"/>
        <v>0</v>
      </c>
      <c r="AX78" s="105">
        <f>AX77</f>
        <v>0</v>
      </c>
      <c r="AY78" s="106">
        <f t="shared" si="156"/>
        <v>0</v>
      </c>
      <c r="AZ78" s="98">
        <f t="shared" ref="AZ78" si="167">(AV78-AY78)*AU78</f>
        <v>0</v>
      </c>
      <c r="BA78" s="98">
        <f t="shared" si="157"/>
        <v>114.15944758140411</v>
      </c>
      <c r="BB78" s="98">
        <f t="shared" si="158"/>
        <v>184.31073360154338</v>
      </c>
      <c r="BC78" s="107">
        <f t="shared" si="159"/>
        <v>70.151286020139267</v>
      </c>
      <c r="BD78" s="183">
        <v>0.4</v>
      </c>
      <c r="BE78" s="109">
        <f>0.7*BD78*BF93</f>
        <v>2.7999999999999997E-2</v>
      </c>
      <c r="BF78" s="185"/>
      <c r="BG78" s="185"/>
    </row>
    <row r="79" spans="2:59" ht="13.8" x14ac:dyDescent="0.3">
      <c r="B79" s="309"/>
      <c r="C79" s="332"/>
      <c r="D79" s="329" t="s">
        <v>62</v>
      </c>
      <c r="E79" s="187" t="str">
        <f t="shared" si="135"/>
        <v>ja</v>
      </c>
      <c r="F79" s="188" t="s">
        <v>68</v>
      </c>
      <c r="G79" s="202">
        <v>0.5</v>
      </c>
      <c r="H79" s="203">
        <v>25</v>
      </c>
      <c r="I79" s="118">
        <f t="shared" si="136"/>
        <v>27.8185</v>
      </c>
      <c r="J79" s="192">
        <v>0.3</v>
      </c>
      <c r="K79" s="118">
        <f t="shared" si="137"/>
        <v>36.290999999999997</v>
      </c>
      <c r="L79" s="201">
        <v>0.5</v>
      </c>
      <c r="M79" s="118">
        <f t="shared" si="138"/>
        <v>60.484999999999999</v>
      </c>
      <c r="N79" s="192">
        <v>0.7</v>
      </c>
      <c r="O79" s="118">
        <f t="shared" si="139"/>
        <v>32.30627272727272</v>
      </c>
      <c r="P79" s="201">
        <v>1</v>
      </c>
      <c r="Q79" s="118">
        <f t="shared" si="140"/>
        <v>46.151818181818179</v>
      </c>
      <c r="R79" s="192">
        <v>1</v>
      </c>
      <c r="S79" s="118">
        <f t="shared" si="141"/>
        <v>44.63739130434783</v>
      </c>
      <c r="T79" s="201">
        <v>1.5</v>
      </c>
      <c r="U79" s="118">
        <f t="shared" si="142"/>
        <v>66.956086956521744</v>
      </c>
      <c r="V79" s="192"/>
      <c r="W79" s="118">
        <f t="shared" si="143"/>
        <v>0</v>
      </c>
      <c r="X79" s="201">
        <v>1</v>
      </c>
      <c r="Y79" s="118">
        <f t="shared" si="144"/>
        <v>16.785354141656661</v>
      </c>
      <c r="Z79" s="192"/>
      <c r="AA79" s="118">
        <f t="shared" si="145"/>
        <v>0</v>
      </c>
      <c r="AB79" s="201">
        <v>1</v>
      </c>
      <c r="AC79" s="118">
        <f t="shared" si="146"/>
        <v>46.740476190476187</v>
      </c>
      <c r="AD79" s="192"/>
      <c r="AE79" s="118">
        <f t="shared" si="147"/>
        <v>0</v>
      </c>
      <c r="AF79" s="201"/>
      <c r="AG79" s="118">
        <f t="shared" si="148"/>
        <v>0</v>
      </c>
      <c r="AH79" s="192"/>
      <c r="AI79" s="118">
        <f t="shared" si="149"/>
        <v>0</v>
      </c>
      <c r="AJ79" s="201"/>
      <c r="AK79" s="118">
        <f t="shared" si="150"/>
        <v>0</v>
      </c>
      <c r="AL79" s="192"/>
      <c r="AM79" s="118">
        <f t="shared" si="151"/>
        <v>0</v>
      </c>
      <c r="AN79" s="201"/>
      <c r="AO79" s="118">
        <f t="shared" si="152"/>
        <v>0</v>
      </c>
      <c r="AP79" s="192"/>
      <c r="AQ79" s="118">
        <f t="shared" si="153"/>
        <v>0</v>
      </c>
      <c r="AR79" s="201"/>
      <c r="AS79" s="118">
        <f t="shared" si="154"/>
        <v>0</v>
      </c>
      <c r="AT79" s="194">
        <v>0</v>
      </c>
      <c r="AU79" s="195">
        <f>AT79*0.9</f>
        <v>0</v>
      </c>
      <c r="AV79" s="196">
        <f>AV77</f>
        <v>0</v>
      </c>
      <c r="AW79" s="118">
        <f t="shared" si="155"/>
        <v>0</v>
      </c>
      <c r="AX79" s="197">
        <v>0</v>
      </c>
      <c r="AY79" s="123">
        <f t="shared" si="156"/>
        <v>0</v>
      </c>
      <c r="AZ79" s="118">
        <f>(AV79-AY79)*AU79</f>
        <v>0</v>
      </c>
      <c r="BA79" s="118">
        <f t="shared" si="157"/>
        <v>113.23466403162055</v>
      </c>
      <c r="BB79" s="118">
        <f t="shared" si="158"/>
        <v>220.17186047047272</v>
      </c>
      <c r="BC79" s="166">
        <f t="shared" si="159"/>
        <v>106.93719643885217</v>
      </c>
      <c r="BD79" s="199">
        <v>0.6</v>
      </c>
      <c r="BE79" s="200">
        <f>0.5*BD79*BF95</f>
        <v>1.4999999999999999E-2</v>
      </c>
    </row>
    <row r="80" spans="2:59" ht="13.8" x14ac:dyDescent="0.3">
      <c r="B80" s="309"/>
      <c r="C80" s="332"/>
      <c r="D80" s="330"/>
      <c r="E80" s="94" t="str">
        <f t="shared" si="135"/>
        <v>nein</v>
      </c>
      <c r="F80" s="95" t="str">
        <f>F79</f>
        <v>Dikotylizid</v>
      </c>
      <c r="G80" s="96">
        <v>1</v>
      </c>
      <c r="H80" s="97">
        <v>25</v>
      </c>
      <c r="I80" s="98">
        <f t="shared" si="136"/>
        <v>40.318499999999993</v>
      </c>
      <c r="J80" s="99"/>
      <c r="K80" s="98">
        <f t="shared" si="137"/>
        <v>0</v>
      </c>
      <c r="L80" s="101"/>
      <c r="M80" s="98">
        <f t="shared" si="138"/>
        <v>0</v>
      </c>
      <c r="N80" s="99">
        <v>1</v>
      </c>
      <c r="O80" s="98">
        <f t="shared" si="139"/>
        <v>46.151818181818179</v>
      </c>
      <c r="P80" s="101">
        <v>2</v>
      </c>
      <c r="Q80" s="98">
        <f t="shared" si="140"/>
        <v>92.303636363636357</v>
      </c>
      <c r="R80" s="99">
        <v>1</v>
      </c>
      <c r="S80" s="98">
        <f t="shared" si="141"/>
        <v>44.63739130434783</v>
      </c>
      <c r="T80" s="101">
        <v>2</v>
      </c>
      <c r="U80" s="98">
        <f t="shared" si="142"/>
        <v>89.274782608695659</v>
      </c>
      <c r="V80" s="99"/>
      <c r="W80" s="98">
        <f t="shared" si="143"/>
        <v>0</v>
      </c>
      <c r="X80" s="101">
        <v>1</v>
      </c>
      <c r="Y80" s="98">
        <f t="shared" si="144"/>
        <v>16.785354141656661</v>
      </c>
      <c r="Z80" s="99"/>
      <c r="AA80" s="98">
        <f t="shared" si="145"/>
        <v>0</v>
      </c>
      <c r="AB80" s="101"/>
      <c r="AC80" s="98">
        <f t="shared" si="146"/>
        <v>0</v>
      </c>
      <c r="AD80" s="99"/>
      <c r="AE80" s="98">
        <f t="shared" si="147"/>
        <v>0</v>
      </c>
      <c r="AF80" s="101"/>
      <c r="AG80" s="98">
        <f t="shared" si="148"/>
        <v>0</v>
      </c>
      <c r="AH80" s="99"/>
      <c r="AI80" s="98">
        <f t="shared" si="149"/>
        <v>0</v>
      </c>
      <c r="AJ80" s="101"/>
      <c r="AK80" s="98">
        <f t="shared" si="150"/>
        <v>0</v>
      </c>
      <c r="AL80" s="99"/>
      <c r="AM80" s="98">
        <f t="shared" si="151"/>
        <v>0</v>
      </c>
      <c r="AN80" s="101"/>
      <c r="AO80" s="98">
        <f t="shared" si="152"/>
        <v>0</v>
      </c>
      <c r="AP80" s="99"/>
      <c r="AQ80" s="98">
        <f t="shared" si="153"/>
        <v>0</v>
      </c>
      <c r="AR80" s="101"/>
      <c r="AS80" s="98">
        <f t="shared" si="154"/>
        <v>0</v>
      </c>
      <c r="AT80" s="102">
        <f>AT79</f>
        <v>0</v>
      </c>
      <c r="AU80" s="103">
        <f t="shared" ref="AU80" si="168">AT80*0.9</f>
        <v>0</v>
      </c>
      <c r="AV80" s="104">
        <f>AV79</f>
        <v>0</v>
      </c>
      <c r="AW80" s="98">
        <f t="shared" si="155"/>
        <v>0</v>
      </c>
      <c r="AX80" s="105">
        <f>AX79</f>
        <v>0</v>
      </c>
      <c r="AY80" s="106">
        <f t="shared" si="156"/>
        <v>0</v>
      </c>
      <c r="AZ80" s="98">
        <f t="shared" ref="AZ80" si="169">(AV80-AY80)*AU80</f>
        <v>0</v>
      </c>
      <c r="BA80" s="98">
        <f t="shared" si="157"/>
        <v>90.789209486166015</v>
      </c>
      <c r="BB80" s="98">
        <f t="shared" si="158"/>
        <v>193.91689811398865</v>
      </c>
      <c r="BC80" s="107">
        <f t="shared" si="159"/>
        <v>103.12768862782264</v>
      </c>
      <c r="BD80" s="183">
        <v>0.4</v>
      </c>
      <c r="BE80" s="109">
        <f>0.5*BD80*BF95</f>
        <v>1.0000000000000002E-2</v>
      </c>
    </row>
    <row r="81" spans="2:59" ht="13.8" x14ac:dyDescent="0.3">
      <c r="B81" s="309"/>
      <c r="C81" s="332"/>
      <c r="D81" s="329" t="s">
        <v>63</v>
      </c>
      <c r="E81" s="187" t="str">
        <f t="shared" si="135"/>
        <v>ja</v>
      </c>
      <c r="F81" s="188"/>
      <c r="G81" s="189">
        <v>0</v>
      </c>
      <c r="H81" s="190">
        <v>0</v>
      </c>
      <c r="I81" s="191">
        <f t="shared" si="136"/>
        <v>0</v>
      </c>
      <c r="J81" s="192">
        <v>0.4</v>
      </c>
      <c r="K81" s="191">
        <f t="shared" si="137"/>
        <v>48.388000000000005</v>
      </c>
      <c r="L81" s="193">
        <v>0.6</v>
      </c>
      <c r="M81" s="191">
        <f t="shared" si="138"/>
        <v>72.581999999999994</v>
      </c>
      <c r="N81" s="192">
        <v>0.6</v>
      </c>
      <c r="O81" s="191">
        <f t="shared" si="139"/>
        <v>27.691090909090907</v>
      </c>
      <c r="P81" s="193">
        <v>1</v>
      </c>
      <c r="Q81" s="191">
        <f t="shared" si="140"/>
        <v>46.151818181818179</v>
      </c>
      <c r="R81" s="192">
        <v>0.5</v>
      </c>
      <c r="S81" s="191">
        <f t="shared" si="141"/>
        <v>22.318695652173915</v>
      </c>
      <c r="T81" s="193">
        <v>1</v>
      </c>
      <c r="U81" s="191">
        <f t="shared" si="142"/>
        <v>44.63739130434783</v>
      </c>
      <c r="V81" s="192"/>
      <c r="W81" s="191">
        <f t="shared" si="143"/>
        <v>0</v>
      </c>
      <c r="X81" s="193"/>
      <c r="Y81" s="191">
        <f t="shared" si="144"/>
        <v>0</v>
      </c>
      <c r="Z81" s="192">
        <v>0.3</v>
      </c>
      <c r="AA81" s="191">
        <f t="shared" si="145"/>
        <v>14.022142857142855</v>
      </c>
      <c r="AB81" s="193">
        <v>1</v>
      </c>
      <c r="AC81" s="191">
        <f t="shared" si="146"/>
        <v>46.740476190476187</v>
      </c>
      <c r="AD81" s="192"/>
      <c r="AE81" s="191">
        <f t="shared" si="147"/>
        <v>0</v>
      </c>
      <c r="AF81" s="193"/>
      <c r="AG81" s="191">
        <f t="shared" si="148"/>
        <v>0</v>
      </c>
      <c r="AH81" s="192"/>
      <c r="AI81" s="191">
        <f t="shared" si="149"/>
        <v>0</v>
      </c>
      <c r="AJ81" s="193"/>
      <c r="AK81" s="191">
        <f t="shared" si="150"/>
        <v>0</v>
      </c>
      <c r="AL81" s="192"/>
      <c r="AM81" s="191">
        <f t="shared" si="151"/>
        <v>0</v>
      </c>
      <c r="AN81" s="193"/>
      <c r="AO81" s="191">
        <f t="shared" si="152"/>
        <v>0</v>
      </c>
      <c r="AP81" s="192"/>
      <c r="AQ81" s="191">
        <f t="shared" si="153"/>
        <v>0</v>
      </c>
      <c r="AR81" s="193"/>
      <c r="AS81" s="191">
        <f t="shared" si="154"/>
        <v>0</v>
      </c>
      <c r="AT81" s="194">
        <v>0</v>
      </c>
      <c r="AU81" s="195">
        <f>AT81*0.9</f>
        <v>0</v>
      </c>
      <c r="AV81" s="196">
        <f>AV79</f>
        <v>0</v>
      </c>
      <c r="AW81" s="191">
        <f t="shared" si="155"/>
        <v>0</v>
      </c>
      <c r="AX81" s="197">
        <v>0</v>
      </c>
      <c r="AY81" s="198">
        <f t="shared" si="156"/>
        <v>0</v>
      </c>
      <c r="AZ81" s="191">
        <f>(AV81-AY81)*AU81</f>
        <v>0</v>
      </c>
      <c r="BA81" s="191">
        <f t="shared" si="157"/>
        <v>112.41992941840768</v>
      </c>
      <c r="BB81" s="191">
        <f t="shared" si="158"/>
        <v>165.34631067664219</v>
      </c>
      <c r="BC81" s="166">
        <f t="shared" si="159"/>
        <v>52.926381258234514</v>
      </c>
      <c r="BD81" s="199">
        <v>0.4</v>
      </c>
      <c r="BE81" s="200">
        <f>0.2*BD81*BF97</f>
        <v>4.4000000000000004E-2</v>
      </c>
      <c r="BG81" s="204"/>
    </row>
    <row r="82" spans="2:59" ht="14.4" thickBot="1" x14ac:dyDescent="0.35">
      <c r="B82" s="309"/>
      <c r="C82" s="332"/>
      <c r="D82" s="301"/>
      <c r="E82" s="94" t="str">
        <f t="shared" si="135"/>
        <v>nein</v>
      </c>
      <c r="F82" s="95"/>
      <c r="G82" s="96">
        <v>0</v>
      </c>
      <c r="H82" s="97">
        <v>0</v>
      </c>
      <c r="I82" s="98">
        <f t="shared" si="136"/>
        <v>0</v>
      </c>
      <c r="J82" s="99"/>
      <c r="K82" s="98">
        <f t="shared" si="137"/>
        <v>0</v>
      </c>
      <c r="L82" s="101"/>
      <c r="M82" s="98">
        <f t="shared" si="138"/>
        <v>0</v>
      </c>
      <c r="N82" s="99">
        <v>1</v>
      </c>
      <c r="O82" s="98">
        <f t="shared" si="139"/>
        <v>46.151818181818179</v>
      </c>
      <c r="P82" s="101">
        <v>1.5</v>
      </c>
      <c r="Q82" s="98">
        <f t="shared" si="140"/>
        <v>69.227727272727265</v>
      </c>
      <c r="R82" s="99">
        <v>1</v>
      </c>
      <c r="S82" s="98">
        <f t="shared" si="141"/>
        <v>44.63739130434783</v>
      </c>
      <c r="T82" s="101">
        <v>1.5</v>
      </c>
      <c r="U82" s="98">
        <f t="shared" si="142"/>
        <v>66.956086956521744</v>
      </c>
      <c r="V82" s="99"/>
      <c r="W82" s="98">
        <f t="shared" si="143"/>
        <v>0</v>
      </c>
      <c r="X82" s="101"/>
      <c r="Y82" s="98">
        <f t="shared" si="144"/>
        <v>0</v>
      </c>
      <c r="Z82" s="99">
        <v>0.5</v>
      </c>
      <c r="AA82" s="98">
        <f t="shared" si="145"/>
        <v>23.370238095238093</v>
      </c>
      <c r="AB82" s="101">
        <v>1</v>
      </c>
      <c r="AC82" s="98">
        <f t="shared" si="146"/>
        <v>46.740476190476187</v>
      </c>
      <c r="AD82" s="99"/>
      <c r="AE82" s="98">
        <f t="shared" si="147"/>
        <v>0</v>
      </c>
      <c r="AF82" s="101"/>
      <c r="AG82" s="98">
        <f t="shared" si="148"/>
        <v>0</v>
      </c>
      <c r="AH82" s="99"/>
      <c r="AI82" s="98">
        <f t="shared" si="149"/>
        <v>0</v>
      </c>
      <c r="AJ82" s="101"/>
      <c r="AK82" s="98">
        <f t="shared" si="150"/>
        <v>0</v>
      </c>
      <c r="AL82" s="99"/>
      <c r="AM82" s="98">
        <f t="shared" si="151"/>
        <v>0</v>
      </c>
      <c r="AN82" s="101"/>
      <c r="AO82" s="98">
        <f t="shared" si="152"/>
        <v>0</v>
      </c>
      <c r="AP82" s="99"/>
      <c r="AQ82" s="98">
        <f t="shared" si="153"/>
        <v>0</v>
      </c>
      <c r="AR82" s="101"/>
      <c r="AS82" s="98">
        <f t="shared" si="154"/>
        <v>0</v>
      </c>
      <c r="AT82" s="102">
        <f>AT81</f>
        <v>0</v>
      </c>
      <c r="AU82" s="103">
        <f t="shared" ref="AU82" si="170">AT82*0.9</f>
        <v>0</v>
      </c>
      <c r="AV82" s="104">
        <f>AV81</f>
        <v>0</v>
      </c>
      <c r="AW82" s="98">
        <f t="shared" si="155"/>
        <v>0</v>
      </c>
      <c r="AX82" s="105">
        <f>AX81</f>
        <v>0</v>
      </c>
      <c r="AY82" s="106">
        <f t="shared" si="156"/>
        <v>0</v>
      </c>
      <c r="AZ82" s="98">
        <f t="shared" ref="AZ82" si="171">(AV82-AY82)*AU82</f>
        <v>0</v>
      </c>
      <c r="BA82" s="98">
        <f t="shared" si="157"/>
        <v>114.15944758140411</v>
      </c>
      <c r="BB82" s="98">
        <f t="shared" si="158"/>
        <v>138.15891541972519</v>
      </c>
      <c r="BC82" s="107">
        <f t="shared" si="159"/>
        <v>23.999467838321081</v>
      </c>
      <c r="BD82" s="183">
        <v>0.6</v>
      </c>
      <c r="BE82" s="109">
        <f>0.2*BD82*BF97</f>
        <v>6.5999999999999989E-2</v>
      </c>
    </row>
    <row r="83" spans="2:59" ht="13.8" x14ac:dyDescent="0.3">
      <c r="B83" s="309"/>
      <c r="C83" s="332"/>
      <c r="D83" s="300" t="s">
        <v>64</v>
      </c>
      <c r="E83" s="77" t="s">
        <v>57</v>
      </c>
      <c r="F83" s="141"/>
      <c r="G83" s="142"/>
      <c r="H83" s="143"/>
      <c r="I83" s="144"/>
      <c r="J83" s="145"/>
      <c r="K83" s="144"/>
      <c r="L83" s="146"/>
      <c r="M83" s="144"/>
      <c r="N83" s="145"/>
      <c r="O83" s="144"/>
      <c r="P83" s="146"/>
      <c r="Q83" s="144"/>
      <c r="R83" s="145"/>
      <c r="S83" s="144"/>
      <c r="T83" s="146"/>
      <c r="U83" s="144"/>
      <c r="V83" s="145"/>
      <c r="W83" s="144"/>
      <c r="X83" s="146"/>
      <c r="Y83" s="144"/>
      <c r="Z83" s="145"/>
      <c r="AA83" s="144"/>
      <c r="AB83" s="146"/>
      <c r="AC83" s="144"/>
      <c r="AD83" s="145"/>
      <c r="AE83" s="144"/>
      <c r="AF83" s="146"/>
      <c r="AG83" s="144"/>
      <c r="AH83" s="145"/>
      <c r="AI83" s="144"/>
      <c r="AJ83" s="146"/>
      <c r="AK83" s="144"/>
      <c r="AL83" s="145"/>
      <c r="AM83" s="144"/>
      <c r="AN83" s="146"/>
      <c r="AO83" s="144"/>
      <c r="AP83" s="145"/>
      <c r="AQ83" s="144"/>
      <c r="AR83" s="146"/>
      <c r="AS83" s="144"/>
      <c r="AT83" s="147"/>
      <c r="AU83" s="147"/>
      <c r="AV83" s="148"/>
      <c r="AW83" s="144"/>
      <c r="AX83" s="148"/>
      <c r="AY83" s="148"/>
      <c r="AZ83" s="144"/>
      <c r="BA83" s="144"/>
      <c r="BB83" s="144"/>
      <c r="BC83" s="164">
        <f>(BC71*BE71+BC73*BE73+BC75*BE75+BC77*BE77+BC79*BE79+BC81*BE81)/(BE71+BE73+BE75+BE77+BE79+BE81)</f>
        <v>73.689174342261154</v>
      </c>
      <c r="BD83" s="150"/>
      <c r="BE83" s="92">
        <f>BE71+BE73+BE75+BE77+BE79+BE81</f>
        <v>0.23800010000000002</v>
      </c>
    </row>
    <row r="84" spans="2:59" ht="14.4" thickBot="1" x14ac:dyDescent="0.35">
      <c r="B84" s="309"/>
      <c r="C84" s="332"/>
      <c r="D84" s="301"/>
      <c r="E84" s="126" t="s">
        <v>59</v>
      </c>
      <c r="F84" s="151"/>
      <c r="G84" s="152"/>
      <c r="H84" s="153"/>
      <c r="I84" s="74"/>
      <c r="J84" s="154"/>
      <c r="K84" s="74"/>
      <c r="L84" s="155"/>
      <c r="M84" s="74"/>
      <c r="N84" s="154"/>
      <c r="O84" s="74"/>
      <c r="P84" s="155"/>
      <c r="Q84" s="74"/>
      <c r="R84" s="154"/>
      <c r="S84" s="74"/>
      <c r="T84" s="155"/>
      <c r="U84" s="74"/>
      <c r="V84" s="154"/>
      <c r="W84" s="74"/>
      <c r="X84" s="155"/>
      <c r="Y84" s="74"/>
      <c r="Z84" s="154"/>
      <c r="AA84" s="74"/>
      <c r="AB84" s="155"/>
      <c r="AC84" s="74"/>
      <c r="AD84" s="154"/>
      <c r="AE84" s="74"/>
      <c r="AF84" s="155"/>
      <c r="AG84" s="74"/>
      <c r="AH84" s="154"/>
      <c r="AI84" s="74"/>
      <c r="AJ84" s="155"/>
      <c r="AK84" s="74"/>
      <c r="AL84" s="154"/>
      <c r="AM84" s="74"/>
      <c r="AN84" s="155"/>
      <c r="AO84" s="74"/>
      <c r="AP84" s="154"/>
      <c r="AQ84" s="74"/>
      <c r="AR84" s="155"/>
      <c r="AS84" s="74"/>
      <c r="AT84" s="156"/>
      <c r="AU84" s="156"/>
      <c r="AV84" s="157"/>
      <c r="AW84" s="74"/>
      <c r="AX84" s="157"/>
      <c r="AY84" s="157"/>
      <c r="AZ84" s="74"/>
      <c r="BA84" s="74"/>
      <c r="BB84" s="74"/>
      <c r="BC84" s="169">
        <f>(BC72*BE72+BC74*BE74+BC76*BE76+BC78*BE78+BC80*BE80+BC82*BE82)/(BE72+BE74+BE76+BE78+BE80+BE82)</f>
        <v>53.749725859184323</v>
      </c>
      <c r="BD84" s="158"/>
      <c r="BE84" s="140">
        <f>BE72+BE74+BE76+BE78+BE80+BE82</f>
        <v>0.17033339999999997</v>
      </c>
    </row>
    <row r="85" spans="2:59" s="182" customFormat="1" ht="14.4" thickBot="1" x14ac:dyDescent="0.35">
      <c r="B85" s="309"/>
      <c r="C85" s="333"/>
      <c r="D85" s="317"/>
      <c r="E85" s="159" t="s">
        <v>65</v>
      </c>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72">
        <f>(BC83*BE83+BC84*BE84)/(BE83+BE84)</f>
        <v>65.37157597169562</v>
      </c>
      <c r="BD85" s="162"/>
      <c r="BE85" s="163">
        <f>BE83+BE84</f>
        <v>0.40833350000000002</v>
      </c>
      <c r="BF85" s="4"/>
      <c r="BG85" s="4"/>
    </row>
    <row r="86" spans="2:59" s="182" customFormat="1" ht="13.8" x14ac:dyDescent="0.3">
      <c r="B86" s="309"/>
      <c r="C86" s="334" t="s">
        <v>59</v>
      </c>
      <c r="D86" s="320" t="s">
        <v>56</v>
      </c>
      <c r="E86" s="187" t="str">
        <f t="shared" ref="E86:E97" si="172">E71</f>
        <v>ja</v>
      </c>
      <c r="F86" s="188"/>
      <c r="G86" s="189">
        <v>0</v>
      </c>
      <c r="H86" s="190">
        <v>0</v>
      </c>
      <c r="I86" s="90">
        <f t="shared" si="136"/>
        <v>0</v>
      </c>
      <c r="J86" s="192">
        <v>0.1</v>
      </c>
      <c r="K86" s="90">
        <f t="shared" ref="K86:K97" si="173">J86*(J$10*$C$6+L$10)</f>
        <v>12.097000000000001</v>
      </c>
      <c r="L86" s="201">
        <v>0.3</v>
      </c>
      <c r="M86" s="90">
        <f t="shared" ref="M86:M97" si="174">L86*(J$10*$C$6+L$10)</f>
        <v>36.290999999999997</v>
      </c>
      <c r="N86" s="192">
        <v>1</v>
      </c>
      <c r="O86" s="90">
        <f t="shared" ref="O86:O97" si="175">N86*(N$10*$C$6+P$10)</f>
        <v>46.151818181818179</v>
      </c>
      <c r="P86" s="201">
        <v>1.5</v>
      </c>
      <c r="Q86" s="90">
        <f t="shared" ref="Q86:Q97" si="176">P86*(N$10*$C$6+P$10)</f>
        <v>69.227727272727265</v>
      </c>
      <c r="R86" s="192">
        <v>0.5</v>
      </c>
      <c r="S86" s="90">
        <f t="shared" ref="S86:S97" si="177">R86*(R$10*$C$6+T$10)</f>
        <v>22.318695652173915</v>
      </c>
      <c r="T86" s="201">
        <v>1</v>
      </c>
      <c r="U86" s="90">
        <f t="shared" ref="U86:U97" si="178">T86*(R$10*$C$6+T$10)</f>
        <v>44.63739130434783</v>
      </c>
      <c r="V86" s="192"/>
      <c r="W86" s="90">
        <f t="shared" ref="W86:W97" si="179">V86*(V$10*$C$6+X$10)</f>
        <v>0</v>
      </c>
      <c r="X86" s="201"/>
      <c r="Y86" s="90">
        <f t="shared" ref="Y86:Y97" si="180">X86*(V$10*$C$6+X$10)</f>
        <v>0</v>
      </c>
      <c r="Z86" s="192"/>
      <c r="AA86" s="90">
        <f t="shared" ref="AA86:AA97" si="181">Z86*(Z$10*$C$6+AB$10)</f>
        <v>0</v>
      </c>
      <c r="AB86" s="201"/>
      <c r="AC86" s="90">
        <f t="shared" ref="AC86:AC97" si="182">AB86*(Z$10*$C$6+AB$10)</f>
        <v>0</v>
      </c>
      <c r="AD86" s="192"/>
      <c r="AE86" s="90">
        <f t="shared" ref="AE86:AE97" si="183">AD86*(AD$10*$C$6+AF$10)</f>
        <v>0</v>
      </c>
      <c r="AF86" s="201"/>
      <c r="AG86" s="90">
        <f t="shared" ref="AG86:AG97" si="184">AF86*(AD$10*$C$6+AF$10)</f>
        <v>0</v>
      </c>
      <c r="AH86" s="192"/>
      <c r="AI86" s="90">
        <f t="shared" ref="AI86:AI97" si="185">AH86*(AH$10*$C$6+AJ$10)</f>
        <v>0</v>
      </c>
      <c r="AJ86" s="201"/>
      <c r="AK86" s="90">
        <f t="shared" ref="AK86:AK97" si="186">AJ86*(AH$10*$C$6+AJ$10)</f>
        <v>0</v>
      </c>
      <c r="AL86" s="192"/>
      <c r="AM86" s="90">
        <f t="shared" ref="AM86:AM97" si="187">AL86*(AL$10*$C$6+AN$10)</f>
        <v>0</v>
      </c>
      <c r="AN86" s="201"/>
      <c r="AO86" s="90">
        <f t="shared" ref="AO86:AO97" si="188">AN86*(AL$10*$C$6+AN$10)</f>
        <v>0</v>
      </c>
      <c r="AP86" s="192"/>
      <c r="AQ86" s="90">
        <f t="shared" ref="AQ86:AQ97" si="189">AP86*(AP$10*$C$6+AR$10)</f>
        <v>0</v>
      </c>
      <c r="AR86" s="201"/>
      <c r="AS86" s="90">
        <f t="shared" ref="AS86:AS97" si="190">AR86*(AP$10*$C$6+AR$10)</f>
        <v>0</v>
      </c>
      <c r="AT86" s="194">
        <v>0</v>
      </c>
      <c r="AU86" s="195">
        <f>AT86*0.9</f>
        <v>0</v>
      </c>
      <c r="AV86" s="196">
        <f>AV71</f>
        <v>0</v>
      </c>
      <c r="AW86" s="90">
        <f t="shared" si="155"/>
        <v>0</v>
      </c>
      <c r="AX86" s="197">
        <v>0</v>
      </c>
      <c r="AY86" s="89">
        <f t="shared" si="156"/>
        <v>0</v>
      </c>
      <c r="AZ86" s="90">
        <f>(AV86-AY86)*AU86</f>
        <v>0</v>
      </c>
      <c r="BA86" s="90">
        <f t="shared" si="157"/>
        <v>80.567513833992095</v>
      </c>
      <c r="BB86" s="90">
        <f t="shared" si="158"/>
        <v>105.39074357707509</v>
      </c>
      <c r="BC86" s="166">
        <f t="shared" si="159"/>
        <v>24.82322974308299</v>
      </c>
      <c r="BD86" s="199">
        <v>0.6</v>
      </c>
      <c r="BE86" s="200">
        <f>0.6*BD86*BF87</f>
        <v>1.7999999999999999E-2</v>
      </c>
      <c r="BF86" s="4"/>
      <c r="BG86" s="4"/>
    </row>
    <row r="87" spans="2:59" s="182" customFormat="1" ht="13.8" x14ac:dyDescent="0.3">
      <c r="B87" s="309"/>
      <c r="C87" s="332"/>
      <c r="D87" s="321"/>
      <c r="E87" s="94" t="str">
        <f t="shared" si="172"/>
        <v>nein</v>
      </c>
      <c r="F87" s="95"/>
      <c r="G87" s="96">
        <v>0</v>
      </c>
      <c r="H87" s="97">
        <v>0</v>
      </c>
      <c r="I87" s="107">
        <f t="shared" si="136"/>
        <v>0</v>
      </c>
      <c r="J87" s="99">
        <v>0</v>
      </c>
      <c r="K87" s="107">
        <f t="shared" si="173"/>
        <v>0</v>
      </c>
      <c r="L87" s="101"/>
      <c r="M87" s="107">
        <f t="shared" si="174"/>
        <v>0</v>
      </c>
      <c r="N87" s="99">
        <v>1</v>
      </c>
      <c r="O87" s="107">
        <f t="shared" si="175"/>
        <v>46.151818181818179</v>
      </c>
      <c r="P87" s="101">
        <v>2</v>
      </c>
      <c r="Q87" s="107">
        <f t="shared" si="176"/>
        <v>92.303636363636357</v>
      </c>
      <c r="R87" s="99">
        <v>0.5</v>
      </c>
      <c r="S87" s="107">
        <f t="shared" si="177"/>
        <v>22.318695652173915</v>
      </c>
      <c r="T87" s="101">
        <v>1.5</v>
      </c>
      <c r="U87" s="107">
        <f t="shared" si="178"/>
        <v>66.956086956521744</v>
      </c>
      <c r="V87" s="99"/>
      <c r="W87" s="107">
        <f t="shared" si="179"/>
        <v>0</v>
      </c>
      <c r="X87" s="101"/>
      <c r="Y87" s="107">
        <f t="shared" si="180"/>
        <v>0</v>
      </c>
      <c r="Z87" s="99"/>
      <c r="AA87" s="107">
        <f t="shared" si="181"/>
        <v>0</v>
      </c>
      <c r="AB87" s="101"/>
      <c r="AC87" s="107">
        <f t="shared" si="182"/>
        <v>0</v>
      </c>
      <c r="AD87" s="99"/>
      <c r="AE87" s="107">
        <f t="shared" si="183"/>
        <v>0</v>
      </c>
      <c r="AF87" s="101"/>
      <c r="AG87" s="107">
        <f t="shared" si="184"/>
        <v>0</v>
      </c>
      <c r="AH87" s="99"/>
      <c r="AI87" s="107">
        <f t="shared" si="185"/>
        <v>0</v>
      </c>
      <c r="AJ87" s="101"/>
      <c r="AK87" s="107">
        <f t="shared" si="186"/>
        <v>0</v>
      </c>
      <c r="AL87" s="99"/>
      <c r="AM87" s="107">
        <f t="shared" si="187"/>
        <v>0</v>
      </c>
      <c r="AN87" s="101"/>
      <c r="AO87" s="107">
        <f t="shared" si="188"/>
        <v>0</v>
      </c>
      <c r="AP87" s="99"/>
      <c r="AQ87" s="107">
        <f t="shared" si="189"/>
        <v>0</v>
      </c>
      <c r="AR87" s="101"/>
      <c r="AS87" s="107">
        <f t="shared" si="190"/>
        <v>0</v>
      </c>
      <c r="AT87" s="102">
        <f>AT86</f>
        <v>0</v>
      </c>
      <c r="AU87" s="103">
        <f t="shared" ref="AU87" si="191">AT87*0.9</f>
        <v>0</v>
      </c>
      <c r="AV87" s="104">
        <f>AV86</f>
        <v>0</v>
      </c>
      <c r="AW87" s="107">
        <f t="shared" si="155"/>
        <v>0</v>
      </c>
      <c r="AX87" s="105">
        <f>AX86</f>
        <v>0</v>
      </c>
      <c r="AY87" s="106">
        <f t="shared" si="156"/>
        <v>0</v>
      </c>
      <c r="AZ87" s="107">
        <f t="shared" ref="AZ87" si="192">(AV87-AY87)*AU87</f>
        <v>0</v>
      </c>
      <c r="BA87" s="107">
        <f t="shared" si="157"/>
        <v>68.470513833992101</v>
      </c>
      <c r="BB87" s="107">
        <f t="shared" si="158"/>
        <v>114.49434832015811</v>
      </c>
      <c r="BC87" s="107">
        <f t="shared" si="159"/>
        <v>46.02383448616601</v>
      </c>
      <c r="BD87" s="183">
        <v>0.4</v>
      </c>
      <c r="BE87" s="109">
        <f>BF87-BE86-BE72-BE71</f>
        <v>1.2E-2</v>
      </c>
      <c r="BF87" s="205">
        <v>0.05</v>
      </c>
      <c r="BG87" s="4"/>
    </row>
    <row r="88" spans="2:59" ht="13.8" x14ac:dyDescent="0.3">
      <c r="B88" s="309"/>
      <c r="C88" s="332"/>
      <c r="D88" s="328" t="s">
        <v>58</v>
      </c>
      <c r="E88" s="187" t="str">
        <f t="shared" si="172"/>
        <v>ja</v>
      </c>
      <c r="F88" s="188"/>
      <c r="G88" s="189">
        <v>0</v>
      </c>
      <c r="H88" s="190">
        <v>0</v>
      </c>
      <c r="I88" s="118">
        <f t="shared" si="136"/>
        <v>0</v>
      </c>
      <c r="J88" s="192">
        <v>0.5</v>
      </c>
      <c r="K88" s="118">
        <f t="shared" si="173"/>
        <v>60.484999999999999</v>
      </c>
      <c r="L88" s="201">
        <v>0.8</v>
      </c>
      <c r="M88" s="118">
        <f t="shared" si="174"/>
        <v>96.77600000000001</v>
      </c>
      <c r="N88" s="192">
        <v>0.5</v>
      </c>
      <c r="O88" s="118">
        <f t="shared" si="175"/>
        <v>23.075909090909089</v>
      </c>
      <c r="P88" s="201">
        <v>1.5</v>
      </c>
      <c r="Q88" s="118">
        <f t="shared" si="176"/>
        <v>69.227727272727265</v>
      </c>
      <c r="R88" s="192">
        <v>1</v>
      </c>
      <c r="S88" s="118">
        <f t="shared" si="177"/>
        <v>44.63739130434783</v>
      </c>
      <c r="T88" s="201">
        <v>1.5</v>
      </c>
      <c r="U88" s="118">
        <f t="shared" si="178"/>
        <v>66.956086956521744</v>
      </c>
      <c r="V88" s="192"/>
      <c r="W88" s="118">
        <f t="shared" si="179"/>
        <v>0</v>
      </c>
      <c r="X88" s="201"/>
      <c r="Y88" s="118">
        <f t="shared" si="180"/>
        <v>0</v>
      </c>
      <c r="Z88" s="192">
        <v>1</v>
      </c>
      <c r="AA88" s="118">
        <f t="shared" si="181"/>
        <v>46.740476190476187</v>
      </c>
      <c r="AB88" s="201">
        <v>1</v>
      </c>
      <c r="AC88" s="118">
        <f t="shared" si="182"/>
        <v>46.740476190476187</v>
      </c>
      <c r="AD88" s="192"/>
      <c r="AE88" s="118">
        <f t="shared" si="183"/>
        <v>0</v>
      </c>
      <c r="AF88" s="201"/>
      <c r="AG88" s="118">
        <f t="shared" si="184"/>
        <v>0</v>
      </c>
      <c r="AH88" s="192"/>
      <c r="AI88" s="118">
        <f t="shared" si="185"/>
        <v>0</v>
      </c>
      <c r="AJ88" s="201"/>
      <c r="AK88" s="118">
        <f t="shared" si="186"/>
        <v>0</v>
      </c>
      <c r="AL88" s="192"/>
      <c r="AM88" s="118">
        <f t="shared" si="187"/>
        <v>0</v>
      </c>
      <c r="AN88" s="201"/>
      <c r="AO88" s="118">
        <f t="shared" si="188"/>
        <v>0</v>
      </c>
      <c r="AP88" s="192"/>
      <c r="AQ88" s="118">
        <f t="shared" si="189"/>
        <v>0</v>
      </c>
      <c r="AR88" s="201"/>
      <c r="AS88" s="118">
        <f t="shared" si="190"/>
        <v>0</v>
      </c>
      <c r="AT88" s="194">
        <v>0</v>
      </c>
      <c r="AU88" s="195">
        <f>AT88*0.9</f>
        <v>0</v>
      </c>
      <c r="AV88" s="196">
        <f>AV73</f>
        <v>0</v>
      </c>
      <c r="AW88" s="118">
        <f t="shared" si="155"/>
        <v>0</v>
      </c>
      <c r="AX88" s="197">
        <v>0</v>
      </c>
      <c r="AY88" s="123">
        <f t="shared" si="156"/>
        <v>0</v>
      </c>
      <c r="AZ88" s="118">
        <f>(AV88-AY88)*AU88</f>
        <v>0</v>
      </c>
      <c r="BA88" s="118">
        <f t="shared" si="157"/>
        <v>174.93877658573311</v>
      </c>
      <c r="BB88" s="118">
        <f t="shared" si="158"/>
        <v>234.9349154197252</v>
      </c>
      <c r="BC88" s="166">
        <f t="shared" si="159"/>
        <v>59.996138833992092</v>
      </c>
      <c r="BD88" s="199">
        <v>0.7</v>
      </c>
      <c r="BE88" s="200">
        <f>0.25*BD88*BF89</f>
        <v>3.4999999999999996E-2</v>
      </c>
    </row>
    <row r="89" spans="2:59" ht="13.8" x14ac:dyDescent="0.3">
      <c r="B89" s="309"/>
      <c r="C89" s="332"/>
      <c r="D89" s="321"/>
      <c r="E89" s="94" t="str">
        <f t="shared" si="172"/>
        <v>nein</v>
      </c>
      <c r="F89" s="95"/>
      <c r="G89" s="96">
        <v>0</v>
      </c>
      <c r="H89" s="97">
        <v>0</v>
      </c>
      <c r="I89" s="98">
        <f t="shared" si="136"/>
        <v>0</v>
      </c>
      <c r="J89" s="99"/>
      <c r="K89" s="98">
        <f t="shared" si="173"/>
        <v>0</v>
      </c>
      <c r="L89" s="101"/>
      <c r="M89" s="98">
        <f t="shared" si="174"/>
        <v>0</v>
      </c>
      <c r="N89" s="99">
        <v>1</v>
      </c>
      <c r="O89" s="98">
        <f t="shared" si="175"/>
        <v>46.151818181818179</v>
      </c>
      <c r="P89" s="101">
        <v>2.5</v>
      </c>
      <c r="Q89" s="98">
        <f t="shared" si="176"/>
        <v>115.37954545454545</v>
      </c>
      <c r="R89" s="99">
        <v>1</v>
      </c>
      <c r="S89" s="98">
        <f t="shared" si="177"/>
        <v>44.63739130434783</v>
      </c>
      <c r="T89" s="101">
        <v>1.5</v>
      </c>
      <c r="U89" s="98">
        <f t="shared" si="178"/>
        <v>66.956086956521744</v>
      </c>
      <c r="V89" s="99"/>
      <c r="W89" s="98">
        <f t="shared" si="179"/>
        <v>0</v>
      </c>
      <c r="X89" s="101"/>
      <c r="Y89" s="98">
        <f t="shared" si="180"/>
        <v>0</v>
      </c>
      <c r="Z89" s="99">
        <v>1</v>
      </c>
      <c r="AA89" s="98">
        <f t="shared" si="181"/>
        <v>46.740476190476187</v>
      </c>
      <c r="AB89" s="101">
        <v>1</v>
      </c>
      <c r="AC89" s="98">
        <f t="shared" si="182"/>
        <v>46.740476190476187</v>
      </c>
      <c r="AD89" s="99"/>
      <c r="AE89" s="98">
        <f t="shared" si="183"/>
        <v>0</v>
      </c>
      <c r="AF89" s="101"/>
      <c r="AG89" s="98">
        <f t="shared" si="184"/>
        <v>0</v>
      </c>
      <c r="AH89" s="99"/>
      <c r="AI89" s="98">
        <f t="shared" si="185"/>
        <v>0</v>
      </c>
      <c r="AJ89" s="101"/>
      <c r="AK89" s="98">
        <f t="shared" si="186"/>
        <v>0</v>
      </c>
      <c r="AL89" s="99"/>
      <c r="AM89" s="98">
        <f t="shared" si="187"/>
        <v>0</v>
      </c>
      <c r="AN89" s="101"/>
      <c r="AO89" s="98">
        <f t="shared" si="188"/>
        <v>0</v>
      </c>
      <c r="AP89" s="99"/>
      <c r="AQ89" s="98">
        <f t="shared" si="189"/>
        <v>0</v>
      </c>
      <c r="AR89" s="101"/>
      <c r="AS89" s="98">
        <f t="shared" si="190"/>
        <v>0</v>
      </c>
      <c r="AT89" s="102">
        <f>AT88</f>
        <v>0</v>
      </c>
      <c r="AU89" s="103">
        <f t="shared" ref="AU89" si="193">AT89*0.9</f>
        <v>0</v>
      </c>
      <c r="AV89" s="104">
        <f>AV88</f>
        <v>0</v>
      </c>
      <c r="AW89" s="98">
        <f t="shared" si="155"/>
        <v>0</v>
      </c>
      <c r="AX89" s="105">
        <f>AX88</f>
        <v>0</v>
      </c>
      <c r="AY89" s="106">
        <f t="shared" si="156"/>
        <v>0</v>
      </c>
      <c r="AZ89" s="98">
        <f t="shared" ref="AZ89" si="194">(AV89-AY89)*AU89</f>
        <v>0</v>
      </c>
      <c r="BA89" s="98">
        <f t="shared" si="157"/>
        <v>137.5296856766422</v>
      </c>
      <c r="BB89" s="98">
        <f t="shared" si="158"/>
        <v>184.31073360154338</v>
      </c>
      <c r="BC89" s="107">
        <f t="shared" si="159"/>
        <v>46.781047924901173</v>
      </c>
      <c r="BD89" s="183">
        <v>0.3</v>
      </c>
      <c r="BE89" s="109">
        <f>BF89-BE88-BE74-BE73</f>
        <v>1.5000000000000027E-2</v>
      </c>
      <c r="BF89" s="205">
        <v>0.2</v>
      </c>
    </row>
    <row r="90" spans="2:59" ht="13.8" x14ac:dyDescent="0.3">
      <c r="B90" s="309"/>
      <c r="C90" s="332"/>
      <c r="D90" s="322" t="s">
        <v>60</v>
      </c>
      <c r="E90" s="187" t="str">
        <f t="shared" si="172"/>
        <v>ja</v>
      </c>
      <c r="F90" s="188"/>
      <c r="G90" s="189">
        <v>0</v>
      </c>
      <c r="H90" s="190">
        <v>0</v>
      </c>
      <c r="I90" s="118">
        <f t="shared" si="136"/>
        <v>0</v>
      </c>
      <c r="J90" s="192">
        <v>0.8</v>
      </c>
      <c r="K90" s="118">
        <f t="shared" si="173"/>
        <v>96.77600000000001</v>
      </c>
      <c r="L90" s="201">
        <v>1</v>
      </c>
      <c r="M90" s="118">
        <f t="shared" si="174"/>
        <v>120.97</v>
      </c>
      <c r="N90" s="192">
        <v>0.2</v>
      </c>
      <c r="O90" s="118">
        <f t="shared" si="175"/>
        <v>9.2303636363636361</v>
      </c>
      <c r="P90" s="201">
        <v>1.5</v>
      </c>
      <c r="Q90" s="118">
        <f t="shared" si="176"/>
        <v>69.227727272727265</v>
      </c>
      <c r="R90" s="192">
        <v>1</v>
      </c>
      <c r="S90" s="118">
        <f t="shared" si="177"/>
        <v>44.63739130434783</v>
      </c>
      <c r="T90" s="201">
        <v>1</v>
      </c>
      <c r="U90" s="118">
        <f t="shared" si="178"/>
        <v>44.63739130434783</v>
      </c>
      <c r="V90" s="192"/>
      <c r="W90" s="118">
        <f t="shared" si="179"/>
        <v>0</v>
      </c>
      <c r="X90" s="201"/>
      <c r="Y90" s="118">
        <f t="shared" si="180"/>
        <v>0</v>
      </c>
      <c r="Z90" s="192"/>
      <c r="AA90" s="118">
        <f t="shared" si="181"/>
        <v>0</v>
      </c>
      <c r="AB90" s="201"/>
      <c r="AC90" s="118">
        <f t="shared" si="182"/>
        <v>0</v>
      </c>
      <c r="AD90" s="192"/>
      <c r="AE90" s="118">
        <f t="shared" si="183"/>
        <v>0</v>
      </c>
      <c r="AF90" s="201"/>
      <c r="AG90" s="118">
        <f t="shared" si="184"/>
        <v>0</v>
      </c>
      <c r="AH90" s="192"/>
      <c r="AI90" s="118">
        <f t="shared" si="185"/>
        <v>0</v>
      </c>
      <c r="AJ90" s="201"/>
      <c r="AK90" s="118">
        <f t="shared" si="186"/>
        <v>0</v>
      </c>
      <c r="AL90" s="192"/>
      <c r="AM90" s="118">
        <f t="shared" si="187"/>
        <v>0</v>
      </c>
      <c r="AN90" s="201"/>
      <c r="AO90" s="118">
        <f t="shared" si="188"/>
        <v>0</v>
      </c>
      <c r="AP90" s="192"/>
      <c r="AQ90" s="118">
        <f t="shared" si="189"/>
        <v>0</v>
      </c>
      <c r="AR90" s="201"/>
      <c r="AS90" s="118">
        <f t="shared" si="190"/>
        <v>0</v>
      </c>
      <c r="AT90" s="194">
        <v>0</v>
      </c>
      <c r="AU90" s="195">
        <f>AT90*0.9</f>
        <v>0</v>
      </c>
      <c r="AV90" s="196">
        <f>AV75</f>
        <v>0</v>
      </c>
      <c r="AW90" s="118">
        <f t="shared" si="155"/>
        <v>0</v>
      </c>
      <c r="AX90" s="197">
        <v>0</v>
      </c>
      <c r="AY90" s="123">
        <f t="shared" si="156"/>
        <v>0</v>
      </c>
      <c r="AZ90" s="118">
        <f>(AV90-AY90)*AU90</f>
        <v>0</v>
      </c>
      <c r="BA90" s="118">
        <f t="shared" si="157"/>
        <v>150.64375494071146</v>
      </c>
      <c r="BB90" s="118">
        <f t="shared" si="158"/>
        <v>190.06974357707509</v>
      </c>
      <c r="BC90" s="166">
        <f t="shared" si="159"/>
        <v>39.425988636363627</v>
      </c>
      <c r="BD90" s="199">
        <v>0.6</v>
      </c>
      <c r="BE90" s="200">
        <f>0.33333*BD90*BF91</f>
        <v>9.9999000000000008E-3</v>
      </c>
    </row>
    <row r="91" spans="2:59" ht="13.8" x14ac:dyDescent="0.3">
      <c r="B91" s="309"/>
      <c r="C91" s="332"/>
      <c r="D91" s="323"/>
      <c r="E91" s="94" t="str">
        <f t="shared" si="172"/>
        <v>nein</v>
      </c>
      <c r="F91" s="95"/>
      <c r="G91" s="96">
        <v>0</v>
      </c>
      <c r="H91" s="97">
        <v>0</v>
      </c>
      <c r="I91" s="98">
        <f t="shared" si="136"/>
        <v>0</v>
      </c>
      <c r="J91" s="99"/>
      <c r="K91" s="98">
        <f t="shared" si="173"/>
        <v>0</v>
      </c>
      <c r="L91" s="101"/>
      <c r="M91" s="98">
        <f t="shared" si="174"/>
        <v>0</v>
      </c>
      <c r="N91" s="99">
        <v>1</v>
      </c>
      <c r="O91" s="98">
        <f t="shared" si="175"/>
        <v>46.151818181818179</v>
      </c>
      <c r="P91" s="101">
        <v>2.5</v>
      </c>
      <c r="Q91" s="98">
        <f t="shared" si="176"/>
        <v>115.37954545454545</v>
      </c>
      <c r="R91" s="99">
        <v>1</v>
      </c>
      <c r="S91" s="98">
        <f t="shared" si="177"/>
        <v>44.63739130434783</v>
      </c>
      <c r="T91" s="101">
        <v>1.5</v>
      </c>
      <c r="U91" s="98">
        <f t="shared" si="178"/>
        <v>66.956086956521744</v>
      </c>
      <c r="V91" s="99"/>
      <c r="W91" s="98">
        <f t="shared" si="179"/>
        <v>0</v>
      </c>
      <c r="X91" s="101"/>
      <c r="Y91" s="98">
        <f t="shared" si="180"/>
        <v>0</v>
      </c>
      <c r="Z91" s="99"/>
      <c r="AA91" s="98">
        <f t="shared" si="181"/>
        <v>0</v>
      </c>
      <c r="AB91" s="101"/>
      <c r="AC91" s="98">
        <f t="shared" si="182"/>
        <v>0</v>
      </c>
      <c r="AD91" s="99"/>
      <c r="AE91" s="98">
        <f t="shared" si="183"/>
        <v>0</v>
      </c>
      <c r="AF91" s="101"/>
      <c r="AG91" s="98">
        <f t="shared" si="184"/>
        <v>0</v>
      </c>
      <c r="AH91" s="99"/>
      <c r="AI91" s="98">
        <f t="shared" si="185"/>
        <v>0</v>
      </c>
      <c r="AJ91" s="101"/>
      <c r="AK91" s="98">
        <f t="shared" si="186"/>
        <v>0</v>
      </c>
      <c r="AL91" s="99"/>
      <c r="AM91" s="98">
        <f t="shared" si="187"/>
        <v>0</v>
      </c>
      <c r="AN91" s="101"/>
      <c r="AO91" s="98">
        <f t="shared" si="188"/>
        <v>0</v>
      </c>
      <c r="AP91" s="99"/>
      <c r="AQ91" s="98">
        <f t="shared" si="189"/>
        <v>0</v>
      </c>
      <c r="AR91" s="101"/>
      <c r="AS91" s="98">
        <f t="shared" si="190"/>
        <v>0</v>
      </c>
      <c r="AT91" s="102">
        <f>AT90</f>
        <v>0</v>
      </c>
      <c r="AU91" s="103">
        <f t="shared" ref="AU91" si="195">AT91*0.9</f>
        <v>0</v>
      </c>
      <c r="AV91" s="104">
        <f>AV90</f>
        <v>0</v>
      </c>
      <c r="AW91" s="98">
        <f t="shared" si="155"/>
        <v>0</v>
      </c>
      <c r="AX91" s="105">
        <f>AX90</f>
        <v>0</v>
      </c>
      <c r="AY91" s="106">
        <f t="shared" si="156"/>
        <v>0</v>
      </c>
      <c r="AZ91" s="98">
        <f t="shared" ref="AZ91" si="196">(AV91-AY91)*AU91</f>
        <v>0</v>
      </c>
      <c r="BA91" s="98">
        <f t="shared" si="157"/>
        <v>90.789209486166015</v>
      </c>
      <c r="BB91" s="98">
        <f t="shared" si="158"/>
        <v>137.57025741106719</v>
      </c>
      <c r="BC91" s="107">
        <f t="shared" si="159"/>
        <v>46.781047924901173</v>
      </c>
      <c r="BD91" s="183">
        <v>0.4</v>
      </c>
      <c r="BE91" s="109">
        <f>BF91-BE90-BE76-BE75</f>
        <v>6.6666000000000017E-3</v>
      </c>
      <c r="BF91" s="205">
        <v>0.05</v>
      </c>
    </row>
    <row r="92" spans="2:59" s="2" customFormat="1" ht="15.6" x14ac:dyDescent="0.3">
      <c r="B92" s="309"/>
      <c r="C92" s="332"/>
      <c r="D92" s="324" t="s">
        <v>61</v>
      </c>
      <c r="E92" s="187" t="str">
        <f t="shared" si="172"/>
        <v>ja</v>
      </c>
      <c r="F92" s="188"/>
      <c r="G92" s="189">
        <v>0</v>
      </c>
      <c r="H92" s="190">
        <v>0</v>
      </c>
      <c r="I92" s="118">
        <f t="shared" si="136"/>
        <v>0</v>
      </c>
      <c r="J92" s="192">
        <v>0.8</v>
      </c>
      <c r="K92" s="118">
        <f t="shared" si="173"/>
        <v>96.77600000000001</v>
      </c>
      <c r="L92" s="201">
        <v>1</v>
      </c>
      <c r="M92" s="118">
        <f t="shared" si="174"/>
        <v>120.97</v>
      </c>
      <c r="N92" s="192">
        <v>0.2</v>
      </c>
      <c r="O92" s="118">
        <f t="shared" si="175"/>
        <v>9.2303636363636361</v>
      </c>
      <c r="P92" s="201">
        <v>1.5</v>
      </c>
      <c r="Q92" s="118">
        <f t="shared" si="176"/>
        <v>69.227727272727265</v>
      </c>
      <c r="R92" s="192">
        <v>1</v>
      </c>
      <c r="S92" s="118">
        <f t="shared" si="177"/>
        <v>44.63739130434783</v>
      </c>
      <c r="T92" s="201">
        <v>1</v>
      </c>
      <c r="U92" s="118">
        <f t="shared" si="178"/>
        <v>44.63739130434783</v>
      </c>
      <c r="V92" s="192"/>
      <c r="W92" s="118">
        <f t="shared" si="179"/>
        <v>0</v>
      </c>
      <c r="X92" s="201"/>
      <c r="Y92" s="118">
        <f t="shared" si="180"/>
        <v>0</v>
      </c>
      <c r="Z92" s="192"/>
      <c r="AA92" s="118">
        <f t="shared" si="181"/>
        <v>0</v>
      </c>
      <c r="AB92" s="201"/>
      <c r="AC92" s="118">
        <f t="shared" si="182"/>
        <v>0</v>
      </c>
      <c r="AD92" s="192"/>
      <c r="AE92" s="118">
        <f t="shared" si="183"/>
        <v>0</v>
      </c>
      <c r="AF92" s="201"/>
      <c r="AG92" s="118">
        <f t="shared" si="184"/>
        <v>0</v>
      </c>
      <c r="AH92" s="192"/>
      <c r="AI92" s="118">
        <f t="shared" si="185"/>
        <v>0</v>
      </c>
      <c r="AJ92" s="201"/>
      <c r="AK92" s="118">
        <f t="shared" si="186"/>
        <v>0</v>
      </c>
      <c r="AL92" s="192"/>
      <c r="AM92" s="118">
        <f t="shared" si="187"/>
        <v>0</v>
      </c>
      <c r="AN92" s="201"/>
      <c r="AO92" s="118">
        <f t="shared" si="188"/>
        <v>0</v>
      </c>
      <c r="AP92" s="192"/>
      <c r="AQ92" s="118">
        <f t="shared" si="189"/>
        <v>0</v>
      </c>
      <c r="AR92" s="201"/>
      <c r="AS92" s="118">
        <f t="shared" si="190"/>
        <v>0</v>
      </c>
      <c r="AT92" s="194">
        <v>0</v>
      </c>
      <c r="AU92" s="195">
        <f>AT92*0.9</f>
        <v>0</v>
      </c>
      <c r="AV92" s="196">
        <f>AV77</f>
        <v>0</v>
      </c>
      <c r="AW92" s="118">
        <f t="shared" si="155"/>
        <v>0</v>
      </c>
      <c r="AX92" s="197">
        <v>0</v>
      </c>
      <c r="AY92" s="123">
        <f t="shared" si="156"/>
        <v>0</v>
      </c>
      <c r="AZ92" s="118">
        <f>(AV92-AY92)*AU92</f>
        <v>0</v>
      </c>
      <c r="BA92" s="118">
        <f t="shared" si="157"/>
        <v>150.64375494071146</v>
      </c>
      <c r="BB92" s="118">
        <f t="shared" si="158"/>
        <v>190.06974357707509</v>
      </c>
      <c r="BC92" s="166">
        <f t="shared" si="159"/>
        <v>39.425988636363627</v>
      </c>
      <c r="BD92" s="199">
        <v>0.6</v>
      </c>
      <c r="BE92" s="200">
        <f>0.3*BD92*BF93</f>
        <v>1.7999999999999999E-2</v>
      </c>
      <c r="BF92" s="185"/>
      <c r="BG92" s="185"/>
    </row>
    <row r="93" spans="2:59" s="2" customFormat="1" ht="15.6" x14ac:dyDescent="0.3">
      <c r="B93" s="309"/>
      <c r="C93" s="332"/>
      <c r="D93" s="325"/>
      <c r="E93" s="94" t="str">
        <f t="shared" si="172"/>
        <v>nein</v>
      </c>
      <c r="F93" s="95"/>
      <c r="G93" s="96">
        <v>0</v>
      </c>
      <c r="H93" s="97">
        <v>0</v>
      </c>
      <c r="I93" s="98">
        <f t="shared" si="136"/>
        <v>0</v>
      </c>
      <c r="J93" s="99"/>
      <c r="K93" s="98">
        <f t="shared" si="173"/>
        <v>0</v>
      </c>
      <c r="L93" s="101"/>
      <c r="M93" s="98">
        <f t="shared" si="174"/>
        <v>0</v>
      </c>
      <c r="N93" s="99">
        <v>1</v>
      </c>
      <c r="O93" s="98">
        <f t="shared" si="175"/>
        <v>46.151818181818179</v>
      </c>
      <c r="P93" s="101">
        <v>2.5</v>
      </c>
      <c r="Q93" s="98">
        <f t="shared" si="176"/>
        <v>115.37954545454545</v>
      </c>
      <c r="R93" s="99">
        <v>1</v>
      </c>
      <c r="S93" s="98">
        <f t="shared" si="177"/>
        <v>44.63739130434783</v>
      </c>
      <c r="T93" s="101">
        <v>1.5</v>
      </c>
      <c r="U93" s="98">
        <f t="shared" si="178"/>
        <v>66.956086956521744</v>
      </c>
      <c r="V93" s="99"/>
      <c r="W93" s="98">
        <f t="shared" si="179"/>
        <v>0</v>
      </c>
      <c r="X93" s="101"/>
      <c r="Y93" s="98">
        <f t="shared" si="180"/>
        <v>0</v>
      </c>
      <c r="Z93" s="99"/>
      <c r="AA93" s="98">
        <f t="shared" si="181"/>
        <v>0</v>
      </c>
      <c r="AB93" s="101"/>
      <c r="AC93" s="98">
        <f t="shared" si="182"/>
        <v>0</v>
      </c>
      <c r="AD93" s="99"/>
      <c r="AE93" s="98">
        <f t="shared" si="183"/>
        <v>0</v>
      </c>
      <c r="AF93" s="101"/>
      <c r="AG93" s="98">
        <f t="shared" si="184"/>
        <v>0</v>
      </c>
      <c r="AH93" s="99"/>
      <c r="AI93" s="98">
        <f t="shared" si="185"/>
        <v>0</v>
      </c>
      <c r="AJ93" s="101"/>
      <c r="AK93" s="98">
        <f t="shared" si="186"/>
        <v>0</v>
      </c>
      <c r="AL93" s="99"/>
      <c r="AM93" s="98">
        <f t="shared" si="187"/>
        <v>0</v>
      </c>
      <c r="AN93" s="101"/>
      <c r="AO93" s="98">
        <f t="shared" si="188"/>
        <v>0</v>
      </c>
      <c r="AP93" s="99"/>
      <c r="AQ93" s="98">
        <f t="shared" si="189"/>
        <v>0</v>
      </c>
      <c r="AR93" s="101"/>
      <c r="AS93" s="98">
        <f t="shared" si="190"/>
        <v>0</v>
      </c>
      <c r="AT93" s="102">
        <f>AT92</f>
        <v>0</v>
      </c>
      <c r="AU93" s="103">
        <f t="shared" ref="AU93" si="197">AT93*0.9</f>
        <v>0</v>
      </c>
      <c r="AV93" s="104">
        <f>AV92</f>
        <v>0</v>
      </c>
      <c r="AW93" s="98">
        <f t="shared" si="155"/>
        <v>0</v>
      </c>
      <c r="AX93" s="105">
        <f>AX92</f>
        <v>0</v>
      </c>
      <c r="AY93" s="106">
        <f t="shared" si="156"/>
        <v>0</v>
      </c>
      <c r="AZ93" s="98">
        <f t="shared" ref="AZ93" si="198">(AV93-AY93)*AU93</f>
        <v>0</v>
      </c>
      <c r="BA93" s="98">
        <f t="shared" si="157"/>
        <v>90.789209486166015</v>
      </c>
      <c r="BB93" s="98">
        <f t="shared" si="158"/>
        <v>137.57025741106719</v>
      </c>
      <c r="BC93" s="107">
        <f t="shared" si="159"/>
        <v>46.781047924901173</v>
      </c>
      <c r="BD93" s="183">
        <v>0.4</v>
      </c>
      <c r="BE93" s="109">
        <f>BF93-BE92-BE78-BE77</f>
        <v>1.2000000000000004E-2</v>
      </c>
      <c r="BF93" s="205">
        <v>0.1</v>
      </c>
      <c r="BG93" s="185"/>
    </row>
    <row r="94" spans="2:59" ht="13.8" x14ac:dyDescent="0.3">
      <c r="B94" s="309"/>
      <c r="C94" s="332"/>
      <c r="D94" s="329" t="s">
        <v>62</v>
      </c>
      <c r="E94" s="187" t="str">
        <f t="shared" si="172"/>
        <v>ja</v>
      </c>
      <c r="F94" s="188" t="str">
        <f>F79</f>
        <v>Dikotylizid</v>
      </c>
      <c r="G94" s="202">
        <v>0.5</v>
      </c>
      <c r="H94" s="203">
        <v>25</v>
      </c>
      <c r="I94" s="118">
        <f t="shared" si="136"/>
        <v>27.8185</v>
      </c>
      <c r="J94" s="192">
        <v>0.2</v>
      </c>
      <c r="K94" s="118">
        <f t="shared" si="173"/>
        <v>24.194000000000003</v>
      </c>
      <c r="L94" s="201">
        <v>0.4</v>
      </c>
      <c r="M94" s="118">
        <f t="shared" si="174"/>
        <v>48.388000000000005</v>
      </c>
      <c r="N94" s="192">
        <v>1</v>
      </c>
      <c r="O94" s="118">
        <f t="shared" si="175"/>
        <v>46.151818181818179</v>
      </c>
      <c r="P94" s="201">
        <v>2.5</v>
      </c>
      <c r="Q94" s="118">
        <f t="shared" si="176"/>
        <v>115.37954545454545</v>
      </c>
      <c r="R94" s="192">
        <v>1</v>
      </c>
      <c r="S94" s="118">
        <f t="shared" si="177"/>
        <v>44.63739130434783</v>
      </c>
      <c r="T94" s="201">
        <v>1</v>
      </c>
      <c r="U94" s="118">
        <f t="shared" si="178"/>
        <v>44.63739130434783</v>
      </c>
      <c r="V94" s="192"/>
      <c r="W94" s="118">
        <f t="shared" si="179"/>
        <v>0</v>
      </c>
      <c r="X94" s="201">
        <v>1</v>
      </c>
      <c r="Y94" s="118">
        <f t="shared" si="180"/>
        <v>16.785354141656661</v>
      </c>
      <c r="Z94" s="192"/>
      <c r="AA94" s="118">
        <f t="shared" si="181"/>
        <v>0</v>
      </c>
      <c r="AB94" s="201"/>
      <c r="AC94" s="118">
        <f t="shared" si="182"/>
        <v>0</v>
      </c>
      <c r="AD94" s="192"/>
      <c r="AE94" s="118">
        <f t="shared" si="183"/>
        <v>0</v>
      </c>
      <c r="AF94" s="201"/>
      <c r="AG94" s="118">
        <f t="shared" si="184"/>
        <v>0</v>
      </c>
      <c r="AH94" s="192"/>
      <c r="AI94" s="118">
        <f t="shared" si="185"/>
        <v>0</v>
      </c>
      <c r="AJ94" s="201"/>
      <c r="AK94" s="118">
        <f t="shared" si="186"/>
        <v>0</v>
      </c>
      <c r="AL94" s="192"/>
      <c r="AM94" s="118">
        <f t="shared" si="187"/>
        <v>0</v>
      </c>
      <c r="AN94" s="201"/>
      <c r="AO94" s="118">
        <f t="shared" si="188"/>
        <v>0</v>
      </c>
      <c r="AP94" s="192"/>
      <c r="AQ94" s="118">
        <f t="shared" si="189"/>
        <v>0</v>
      </c>
      <c r="AR94" s="201"/>
      <c r="AS94" s="118">
        <f t="shared" si="190"/>
        <v>0</v>
      </c>
      <c r="AT94" s="194">
        <v>0</v>
      </c>
      <c r="AU94" s="195">
        <f>AT94*0.9</f>
        <v>0</v>
      </c>
      <c r="AV94" s="196">
        <f>AV79</f>
        <v>0</v>
      </c>
      <c r="AW94" s="118">
        <f t="shared" si="155"/>
        <v>0</v>
      </c>
      <c r="AX94" s="197">
        <v>0</v>
      </c>
      <c r="AY94" s="123">
        <f t="shared" si="156"/>
        <v>0</v>
      </c>
      <c r="AZ94" s="118">
        <f>(AV94-AY94)*AU94</f>
        <v>0</v>
      </c>
      <c r="BA94" s="118">
        <f t="shared" si="157"/>
        <v>114.983209486166</v>
      </c>
      <c r="BB94" s="118">
        <f t="shared" si="158"/>
        <v>208.24341590054993</v>
      </c>
      <c r="BC94" s="166">
        <f t="shared" si="159"/>
        <v>93.26020641438393</v>
      </c>
      <c r="BD94" s="199">
        <v>0.6</v>
      </c>
      <c r="BE94" s="200">
        <f>0.5*BD94*BF95</f>
        <v>1.4999999999999999E-2</v>
      </c>
    </row>
    <row r="95" spans="2:59" ht="13.8" x14ac:dyDescent="0.3">
      <c r="B95" s="309"/>
      <c r="C95" s="332"/>
      <c r="D95" s="330"/>
      <c r="E95" s="94" t="str">
        <f t="shared" si="172"/>
        <v>nein</v>
      </c>
      <c r="F95" s="95" t="str">
        <f>F94</f>
        <v>Dikotylizid</v>
      </c>
      <c r="G95" s="96">
        <v>1</v>
      </c>
      <c r="H95" s="97">
        <v>25</v>
      </c>
      <c r="I95" s="98">
        <f t="shared" si="136"/>
        <v>40.318499999999993</v>
      </c>
      <c r="J95" s="99"/>
      <c r="K95" s="98">
        <f t="shared" si="173"/>
        <v>0</v>
      </c>
      <c r="L95" s="101"/>
      <c r="M95" s="98">
        <f t="shared" si="174"/>
        <v>0</v>
      </c>
      <c r="N95" s="99">
        <v>1</v>
      </c>
      <c r="O95" s="98">
        <f t="shared" si="175"/>
        <v>46.151818181818179</v>
      </c>
      <c r="P95" s="101">
        <v>2.5</v>
      </c>
      <c r="Q95" s="98">
        <f t="shared" si="176"/>
        <v>115.37954545454545</v>
      </c>
      <c r="R95" s="99">
        <v>1</v>
      </c>
      <c r="S95" s="98">
        <f t="shared" si="177"/>
        <v>44.63739130434783</v>
      </c>
      <c r="T95" s="101">
        <v>1.5</v>
      </c>
      <c r="U95" s="98">
        <f t="shared" si="178"/>
        <v>66.956086956521744</v>
      </c>
      <c r="V95" s="99"/>
      <c r="W95" s="98">
        <f t="shared" si="179"/>
        <v>0</v>
      </c>
      <c r="X95" s="101">
        <v>1</v>
      </c>
      <c r="Y95" s="98">
        <f t="shared" si="180"/>
        <v>16.785354141656661</v>
      </c>
      <c r="Z95" s="99"/>
      <c r="AA95" s="98">
        <f t="shared" si="181"/>
        <v>0</v>
      </c>
      <c r="AB95" s="101"/>
      <c r="AC95" s="98">
        <f t="shared" si="182"/>
        <v>0</v>
      </c>
      <c r="AD95" s="99"/>
      <c r="AE95" s="98">
        <f t="shared" si="183"/>
        <v>0</v>
      </c>
      <c r="AF95" s="101"/>
      <c r="AG95" s="98">
        <f t="shared" si="184"/>
        <v>0</v>
      </c>
      <c r="AH95" s="99"/>
      <c r="AI95" s="98">
        <f t="shared" si="185"/>
        <v>0</v>
      </c>
      <c r="AJ95" s="101"/>
      <c r="AK95" s="98">
        <f t="shared" si="186"/>
        <v>0</v>
      </c>
      <c r="AL95" s="99"/>
      <c r="AM95" s="98">
        <f t="shared" si="187"/>
        <v>0</v>
      </c>
      <c r="AN95" s="101"/>
      <c r="AO95" s="98">
        <f t="shared" si="188"/>
        <v>0</v>
      </c>
      <c r="AP95" s="99"/>
      <c r="AQ95" s="98">
        <f t="shared" si="189"/>
        <v>0</v>
      </c>
      <c r="AR95" s="101"/>
      <c r="AS95" s="98">
        <f t="shared" si="190"/>
        <v>0</v>
      </c>
      <c r="AT95" s="102">
        <f>AT94</f>
        <v>0</v>
      </c>
      <c r="AU95" s="103">
        <f t="shared" ref="AU95" si="199">AT95*0.9</f>
        <v>0</v>
      </c>
      <c r="AV95" s="104">
        <f>AV94</f>
        <v>0</v>
      </c>
      <c r="AW95" s="98">
        <f t="shared" si="155"/>
        <v>0</v>
      </c>
      <c r="AX95" s="105">
        <f>AX94</f>
        <v>0</v>
      </c>
      <c r="AY95" s="106">
        <f t="shared" si="156"/>
        <v>0</v>
      </c>
      <c r="AZ95" s="98">
        <f t="shared" ref="AZ95" si="200">(AV95-AY95)*AU95</f>
        <v>0</v>
      </c>
      <c r="BA95" s="98">
        <f t="shared" si="157"/>
        <v>90.789209486166015</v>
      </c>
      <c r="BB95" s="98">
        <f t="shared" si="158"/>
        <v>194.67411155272384</v>
      </c>
      <c r="BC95" s="107">
        <f t="shared" si="159"/>
        <v>103.88490206655783</v>
      </c>
      <c r="BD95" s="183">
        <v>0.4</v>
      </c>
      <c r="BE95" s="109">
        <f>BF95-BE94-BE80-BE79</f>
        <v>1.0000000000000002E-2</v>
      </c>
      <c r="BF95" s="205">
        <v>0.05</v>
      </c>
    </row>
    <row r="96" spans="2:59" ht="13.8" x14ac:dyDescent="0.3">
      <c r="B96" s="309"/>
      <c r="C96" s="332"/>
      <c r="D96" s="329" t="s">
        <v>63</v>
      </c>
      <c r="E96" s="187" t="str">
        <f t="shared" si="172"/>
        <v>ja</v>
      </c>
      <c r="F96" s="188"/>
      <c r="G96" s="189">
        <v>0</v>
      </c>
      <c r="H96" s="190">
        <v>0</v>
      </c>
      <c r="I96" s="191">
        <f t="shared" si="136"/>
        <v>0</v>
      </c>
      <c r="J96" s="192">
        <v>0.3</v>
      </c>
      <c r="K96" s="191">
        <f t="shared" si="173"/>
        <v>36.290999999999997</v>
      </c>
      <c r="L96" s="193">
        <v>0.5</v>
      </c>
      <c r="M96" s="191">
        <f t="shared" si="174"/>
        <v>60.484999999999999</v>
      </c>
      <c r="N96" s="192">
        <v>0.7</v>
      </c>
      <c r="O96" s="191">
        <f t="shared" si="175"/>
        <v>32.30627272727272</v>
      </c>
      <c r="P96" s="193">
        <v>1</v>
      </c>
      <c r="Q96" s="191">
        <f t="shared" si="176"/>
        <v>46.151818181818179</v>
      </c>
      <c r="R96" s="192">
        <v>0</v>
      </c>
      <c r="S96" s="191">
        <f t="shared" si="177"/>
        <v>0</v>
      </c>
      <c r="T96" s="193">
        <v>0.5</v>
      </c>
      <c r="U96" s="191">
        <f t="shared" si="178"/>
        <v>22.318695652173915</v>
      </c>
      <c r="V96" s="192"/>
      <c r="W96" s="191">
        <f t="shared" si="179"/>
        <v>0</v>
      </c>
      <c r="X96" s="193"/>
      <c r="Y96" s="191">
        <f t="shared" si="180"/>
        <v>0</v>
      </c>
      <c r="Z96" s="192"/>
      <c r="AA96" s="191">
        <f t="shared" si="181"/>
        <v>0</v>
      </c>
      <c r="AB96" s="193"/>
      <c r="AC96" s="191">
        <f t="shared" si="182"/>
        <v>0</v>
      </c>
      <c r="AD96" s="192"/>
      <c r="AE96" s="191">
        <f t="shared" si="183"/>
        <v>0</v>
      </c>
      <c r="AF96" s="193"/>
      <c r="AG96" s="191">
        <f t="shared" si="184"/>
        <v>0</v>
      </c>
      <c r="AH96" s="192"/>
      <c r="AI96" s="191">
        <f t="shared" si="185"/>
        <v>0</v>
      </c>
      <c r="AJ96" s="193"/>
      <c r="AK96" s="191">
        <f t="shared" si="186"/>
        <v>0</v>
      </c>
      <c r="AL96" s="192"/>
      <c r="AM96" s="191">
        <f t="shared" si="187"/>
        <v>0</v>
      </c>
      <c r="AN96" s="193"/>
      <c r="AO96" s="191">
        <f t="shared" si="188"/>
        <v>0</v>
      </c>
      <c r="AP96" s="192"/>
      <c r="AQ96" s="191">
        <f t="shared" si="189"/>
        <v>0</v>
      </c>
      <c r="AR96" s="193"/>
      <c r="AS96" s="191">
        <f t="shared" si="190"/>
        <v>0</v>
      </c>
      <c r="AT96" s="194">
        <v>0</v>
      </c>
      <c r="AU96" s="195">
        <f>AT96*0.9</f>
        <v>0</v>
      </c>
      <c r="AV96" s="196">
        <f>AV81</f>
        <v>0</v>
      </c>
      <c r="AW96" s="191">
        <f t="shared" si="155"/>
        <v>0</v>
      </c>
      <c r="AX96" s="197">
        <v>0</v>
      </c>
      <c r="AY96" s="198">
        <f t="shared" si="156"/>
        <v>0</v>
      </c>
      <c r="AZ96" s="191">
        <f>(AV96-AY96)*AU96</f>
        <v>0</v>
      </c>
      <c r="BA96" s="191">
        <f t="shared" si="157"/>
        <v>68.597272727272724</v>
      </c>
      <c r="BB96" s="191">
        <f t="shared" si="158"/>
        <v>84.19013883399208</v>
      </c>
      <c r="BC96" s="166">
        <f t="shared" si="159"/>
        <v>15.592866106719356</v>
      </c>
      <c r="BD96" s="199">
        <v>0.4</v>
      </c>
      <c r="BE96" s="200">
        <f>0.8*BD96*BF97</f>
        <v>0.17600000000000002</v>
      </c>
    </row>
    <row r="97" spans="2:60" ht="14.4" thickBot="1" x14ac:dyDescent="0.35">
      <c r="B97" s="309"/>
      <c r="C97" s="332"/>
      <c r="D97" s="301"/>
      <c r="E97" s="94" t="str">
        <f t="shared" si="172"/>
        <v>nein</v>
      </c>
      <c r="F97" s="95"/>
      <c r="G97" s="96">
        <v>0</v>
      </c>
      <c r="H97" s="97">
        <v>0</v>
      </c>
      <c r="I97" s="98">
        <f t="shared" si="136"/>
        <v>0</v>
      </c>
      <c r="J97" s="99"/>
      <c r="K97" s="98">
        <f t="shared" si="173"/>
        <v>0</v>
      </c>
      <c r="L97" s="101"/>
      <c r="M97" s="98">
        <f t="shared" si="174"/>
        <v>0</v>
      </c>
      <c r="N97" s="99">
        <v>1</v>
      </c>
      <c r="O97" s="98">
        <f t="shared" si="175"/>
        <v>46.151818181818179</v>
      </c>
      <c r="P97" s="101">
        <v>1.5</v>
      </c>
      <c r="Q97" s="98">
        <f t="shared" si="176"/>
        <v>69.227727272727265</v>
      </c>
      <c r="R97" s="99">
        <v>0.5</v>
      </c>
      <c r="S97" s="98">
        <f t="shared" si="177"/>
        <v>22.318695652173915</v>
      </c>
      <c r="T97" s="101">
        <v>1</v>
      </c>
      <c r="U97" s="98">
        <f t="shared" si="178"/>
        <v>44.63739130434783</v>
      </c>
      <c r="V97" s="99"/>
      <c r="W97" s="98">
        <f t="shared" si="179"/>
        <v>0</v>
      </c>
      <c r="X97" s="101"/>
      <c r="Y97" s="98">
        <f t="shared" si="180"/>
        <v>0</v>
      </c>
      <c r="Z97" s="99"/>
      <c r="AA97" s="98">
        <f t="shared" si="181"/>
        <v>0</v>
      </c>
      <c r="AB97" s="101"/>
      <c r="AC97" s="98">
        <f t="shared" si="182"/>
        <v>0</v>
      </c>
      <c r="AD97" s="99"/>
      <c r="AE97" s="98">
        <f t="shared" si="183"/>
        <v>0</v>
      </c>
      <c r="AF97" s="101"/>
      <c r="AG97" s="98">
        <f t="shared" si="184"/>
        <v>0</v>
      </c>
      <c r="AH97" s="99"/>
      <c r="AI97" s="98">
        <f t="shared" si="185"/>
        <v>0</v>
      </c>
      <c r="AJ97" s="101"/>
      <c r="AK97" s="98">
        <f t="shared" si="186"/>
        <v>0</v>
      </c>
      <c r="AL97" s="99"/>
      <c r="AM97" s="98">
        <f t="shared" si="187"/>
        <v>0</v>
      </c>
      <c r="AN97" s="101"/>
      <c r="AO97" s="98">
        <f t="shared" si="188"/>
        <v>0</v>
      </c>
      <c r="AP97" s="99"/>
      <c r="AQ97" s="98">
        <f t="shared" si="189"/>
        <v>0</v>
      </c>
      <c r="AR97" s="101"/>
      <c r="AS97" s="98">
        <f t="shared" si="190"/>
        <v>0</v>
      </c>
      <c r="AT97" s="102">
        <f>AT96</f>
        <v>0</v>
      </c>
      <c r="AU97" s="103">
        <f t="shared" ref="AU97" si="201">AT97*0.9</f>
        <v>0</v>
      </c>
      <c r="AV97" s="104">
        <f>AV96</f>
        <v>0</v>
      </c>
      <c r="AW97" s="98">
        <f t="shared" si="155"/>
        <v>0</v>
      </c>
      <c r="AX97" s="105">
        <f>AX96</f>
        <v>0</v>
      </c>
      <c r="AY97" s="106">
        <f t="shared" si="156"/>
        <v>0</v>
      </c>
      <c r="AZ97" s="98">
        <f t="shared" ref="AZ97" si="202">(AV97-AY97)*AU97</f>
        <v>0</v>
      </c>
      <c r="BA97" s="98">
        <f t="shared" si="157"/>
        <v>68.470513833992101</v>
      </c>
      <c r="BB97" s="98">
        <f t="shared" si="158"/>
        <v>69.099743577075088</v>
      </c>
      <c r="BC97" s="107">
        <f t="shared" si="159"/>
        <v>0.62922974308298762</v>
      </c>
      <c r="BD97" s="183">
        <v>0.6</v>
      </c>
      <c r="BE97" s="109">
        <f>BF97-BE96-BE82-BE81</f>
        <v>0.2639999999999999</v>
      </c>
      <c r="BF97" s="167">
        <f>1-BF87-BF89-BF91-BF93-BF95</f>
        <v>0.54999999999999993</v>
      </c>
    </row>
    <row r="98" spans="2:60" s="182" customFormat="1" ht="13.8" x14ac:dyDescent="0.3">
      <c r="B98" s="309"/>
      <c r="C98" s="332"/>
      <c r="D98" s="300" t="s">
        <v>64</v>
      </c>
      <c r="E98" s="77" t="s">
        <v>57</v>
      </c>
      <c r="F98" s="141"/>
      <c r="G98" s="142"/>
      <c r="H98" s="143"/>
      <c r="I98" s="144"/>
      <c r="J98" s="145"/>
      <c r="K98" s="144"/>
      <c r="L98" s="146"/>
      <c r="M98" s="144"/>
      <c r="N98" s="145"/>
      <c r="O98" s="144"/>
      <c r="P98" s="146"/>
      <c r="Q98" s="144"/>
      <c r="R98" s="145"/>
      <c r="S98" s="144"/>
      <c r="T98" s="146"/>
      <c r="U98" s="144"/>
      <c r="V98" s="145"/>
      <c r="W98" s="144"/>
      <c r="X98" s="146"/>
      <c r="Y98" s="144"/>
      <c r="Z98" s="145"/>
      <c r="AA98" s="144"/>
      <c r="AB98" s="146"/>
      <c r="AC98" s="144"/>
      <c r="AD98" s="145"/>
      <c r="AE98" s="144"/>
      <c r="AF98" s="146"/>
      <c r="AG98" s="144"/>
      <c r="AH98" s="145"/>
      <c r="AI98" s="144"/>
      <c r="AJ98" s="146"/>
      <c r="AK98" s="144"/>
      <c r="AL98" s="145"/>
      <c r="AM98" s="144"/>
      <c r="AN98" s="146"/>
      <c r="AO98" s="144"/>
      <c r="AP98" s="145"/>
      <c r="AQ98" s="144"/>
      <c r="AR98" s="146"/>
      <c r="AS98" s="144"/>
      <c r="AT98" s="147"/>
      <c r="AU98" s="147"/>
      <c r="AV98" s="148"/>
      <c r="AW98" s="144"/>
      <c r="AX98" s="148"/>
      <c r="AY98" s="148"/>
      <c r="AZ98" s="144"/>
      <c r="BA98" s="144"/>
      <c r="BB98" s="144"/>
      <c r="BC98" s="164">
        <f>(BC86*BE86+BC88*BE88+BC90*BE90+BC92*BE92+BC94*BE94+BC96*BE96)/(BE86+BE88+BE90+BE92+BE94+BE96)</f>
        <v>28.653886507983646</v>
      </c>
      <c r="BD98" s="150"/>
      <c r="BE98" s="92">
        <f>BE86+BE88+BE90+BE92+BE94+BE96</f>
        <v>0.27199990000000002</v>
      </c>
      <c r="BF98" s="4"/>
      <c r="BG98" s="4"/>
    </row>
    <row r="99" spans="2:60" s="182" customFormat="1" ht="14.4" thickBot="1" x14ac:dyDescent="0.35">
      <c r="B99" s="309"/>
      <c r="C99" s="332"/>
      <c r="D99" s="301"/>
      <c r="E99" s="126" t="s">
        <v>59</v>
      </c>
      <c r="F99" s="151"/>
      <c r="G99" s="152"/>
      <c r="H99" s="153"/>
      <c r="I99" s="74"/>
      <c r="J99" s="154"/>
      <c r="K99" s="74"/>
      <c r="L99" s="155"/>
      <c r="M99" s="74"/>
      <c r="N99" s="154"/>
      <c r="O99" s="74"/>
      <c r="P99" s="155"/>
      <c r="Q99" s="74"/>
      <c r="R99" s="154"/>
      <c r="S99" s="74"/>
      <c r="T99" s="155"/>
      <c r="U99" s="74"/>
      <c r="V99" s="154"/>
      <c r="W99" s="74"/>
      <c r="X99" s="155"/>
      <c r="Y99" s="74"/>
      <c r="Z99" s="154"/>
      <c r="AA99" s="74"/>
      <c r="AB99" s="155"/>
      <c r="AC99" s="74"/>
      <c r="AD99" s="154"/>
      <c r="AE99" s="74"/>
      <c r="AF99" s="155"/>
      <c r="AG99" s="74"/>
      <c r="AH99" s="154"/>
      <c r="AI99" s="74"/>
      <c r="AJ99" s="155"/>
      <c r="AK99" s="74"/>
      <c r="AL99" s="154"/>
      <c r="AM99" s="74"/>
      <c r="AN99" s="155"/>
      <c r="AO99" s="74"/>
      <c r="AP99" s="154"/>
      <c r="AQ99" s="74"/>
      <c r="AR99" s="155"/>
      <c r="AS99" s="74"/>
      <c r="AT99" s="156"/>
      <c r="AU99" s="156"/>
      <c r="AV99" s="157"/>
      <c r="AW99" s="74"/>
      <c r="AX99" s="157"/>
      <c r="AY99" s="157"/>
      <c r="AZ99" s="74"/>
      <c r="BA99" s="74"/>
      <c r="BB99" s="74"/>
      <c r="BC99" s="169">
        <f>(BC87*BE87+BC89*BE89+BC91*BE91+BC93*BE93+BC95*BE95+BC97*BE97)/(BE87+BE89+BE91+BE93+BE95+BE97)</f>
        <v>10.424018382721121</v>
      </c>
      <c r="BD99" s="158"/>
      <c r="BE99" s="140">
        <f>BE87+BE89+BE91+BE93+BE95+BE97</f>
        <v>0.31966659999999991</v>
      </c>
      <c r="BF99" s="4"/>
      <c r="BG99" s="4"/>
    </row>
    <row r="100" spans="2:60" s="182" customFormat="1" ht="14.4" thickBot="1" x14ac:dyDescent="0.35">
      <c r="B100" s="309"/>
      <c r="C100" s="335"/>
      <c r="D100" s="301"/>
      <c r="E100" s="206" t="s">
        <v>65</v>
      </c>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7"/>
      <c r="AY100" s="207"/>
      <c r="AZ100" s="207"/>
      <c r="BA100" s="207"/>
      <c r="BB100" s="207"/>
      <c r="BC100" s="208">
        <f>(BC98*BE98+BC99*BE99)/(BE98+BE99)</f>
        <v>18.804621825850987</v>
      </c>
      <c r="BD100" s="209"/>
      <c r="BE100" s="210">
        <f>BE98+BE99</f>
        <v>0.59166649999999987</v>
      </c>
      <c r="BF100" s="4"/>
      <c r="BG100" s="4"/>
    </row>
    <row r="101" spans="2:60" s="182" customFormat="1" ht="16.2" thickBot="1" x14ac:dyDescent="0.35">
      <c r="B101" s="173" t="s">
        <v>69</v>
      </c>
      <c r="C101" s="174"/>
      <c r="D101" s="174"/>
      <c r="E101" s="175"/>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7">
        <f>BC85*(BE85)+BC100*(BE100)</f>
        <v>37.819469196563233</v>
      </c>
      <c r="BD101" s="211"/>
      <c r="BE101" s="212"/>
      <c r="BF101" s="4"/>
      <c r="BG101" s="4"/>
    </row>
    <row r="102" spans="2:60" ht="13.8" x14ac:dyDescent="0.3">
      <c r="B102" s="308" t="s">
        <v>61</v>
      </c>
      <c r="C102" s="318" t="str">
        <f>C86</f>
        <v>nein</v>
      </c>
      <c r="D102" s="320" t="s">
        <v>56</v>
      </c>
      <c r="E102" s="187" t="str">
        <f t="shared" ref="E102:E113" si="203">E86</f>
        <v>ja</v>
      </c>
      <c r="F102" s="188"/>
      <c r="G102" s="189">
        <v>0</v>
      </c>
      <c r="H102" s="190">
        <v>0</v>
      </c>
      <c r="I102" s="90">
        <f t="shared" si="136"/>
        <v>0</v>
      </c>
      <c r="J102" s="192">
        <v>0.1</v>
      </c>
      <c r="K102" s="90">
        <f t="shared" ref="K102:K113" si="204">J102*(J$10*$C$6+L$10)</f>
        <v>12.097000000000001</v>
      </c>
      <c r="L102" s="201">
        <v>0.1</v>
      </c>
      <c r="M102" s="90">
        <f t="shared" ref="M102:M113" si="205">L102*(J$10*$C$6+L$10)</f>
        <v>12.097000000000001</v>
      </c>
      <c r="N102" s="192">
        <v>0.9</v>
      </c>
      <c r="O102" s="90">
        <f t="shared" ref="O102:O113" si="206">N102*(N$10*$C$6+P$10)</f>
        <v>41.536636363636362</v>
      </c>
      <c r="P102" s="201">
        <v>0.9</v>
      </c>
      <c r="Q102" s="90">
        <f t="shared" ref="Q102:Q113" si="207">P102*(N$10*$C$6+P$10)</f>
        <v>41.536636363636362</v>
      </c>
      <c r="R102" s="192">
        <v>0.5</v>
      </c>
      <c r="S102" s="90">
        <f t="shared" ref="S102:S113" si="208">R102*(R$10*$C$6+T$10)</f>
        <v>22.318695652173915</v>
      </c>
      <c r="T102" s="201">
        <v>1</v>
      </c>
      <c r="U102" s="90">
        <f t="shared" ref="U102:U113" si="209">T102*(R$10*$C$6+T$10)</f>
        <v>44.63739130434783</v>
      </c>
      <c r="V102" s="192"/>
      <c r="W102" s="90">
        <f t="shared" ref="W102:W113" si="210">V102*(V$10*$C$6+X$10)</f>
        <v>0</v>
      </c>
      <c r="X102" s="201"/>
      <c r="Y102" s="90">
        <f t="shared" ref="Y102:Y113" si="211">X102*(V$10*$C$6+X$10)</f>
        <v>0</v>
      </c>
      <c r="Z102" s="192"/>
      <c r="AA102" s="90">
        <f t="shared" ref="AA102:AA113" si="212">Z102*(Z$10*$C$6+AB$10)</f>
        <v>0</v>
      </c>
      <c r="AB102" s="201"/>
      <c r="AC102" s="90">
        <f t="shared" ref="AC102:AC113" si="213">AB102*(Z$10*$C$6+AB$10)</f>
        <v>0</v>
      </c>
      <c r="AD102" s="192"/>
      <c r="AE102" s="90">
        <f t="shared" ref="AE102:AE113" si="214">AD102*(AD$10*$C$6+AF$10)</f>
        <v>0</v>
      </c>
      <c r="AF102" s="201"/>
      <c r="AG102" s="90">
        <f t="shared" ref="AG102:AG113" si="215">AF102*(AD$10*$C$6+AF$10)</f>
        <v>0</v>
      </c>
      <c r="AH102" s="192"/>
      <c r="AI102" s="90">
        <f t="shared" ref="AI102:AI113" si="216">AH102*(AH$10*$C$6+AJ$10)</f>
        <v>0</v>
      </c>
      <c r="AJ102" s="201"/>
      <c r="AK102" s="90">
        <f t="shared" ref="AK102:AK113" si="217">AJ102*(AH$10*$C$6+AJ$10)</f>
        <v>0</v>
      </c>
      <c r="AL102" s="192"/>
      <c r="AM102" s="90">
        <f t="shared" ref="AM102:AM113" si="218">AL102*(AL$10*$C$6+AN$10)</f>
        <v>0</v>
      </c>
      <c r="AN102" s="201"/>
      <c r="AO102" s="90">
        <f t="shared" ref="AO102:AO113" si="219">AN102*(AL$10*$C$6+AN$10)</f>
        <v>0</v>
      </c>
      <c r="AP102" s="192"/>
      <c r="AQ102" s="90">
        <f t="shared" ref="AQ102:AQ113" si="220">AP102*(AP$10*$C$6+AR$10)</f>
        <v>0</v>
      </c>
      <c r="AR102" s="201"/>
      <c r="AS102" s="90">
        <f t="shared" ref="AS102:AS113" si="221">AR102*(AP$10*$C$6+AR$10)</f>
        <v>0</v>
      </c>
      <c r="AT102" s="194">
        <v>0</v>
      </c>
      <c r="AU102" s="195">
        <f>AT102*0.9</f>
        <v>0</v>
      </c>
      <c r="AV102" s="196">
        <v>0</v>
      </c>
      <c r="AW102" s="90">
        <f t="shared" si="155"/>
        <v>0</v>
      </c>
      <c r="AX102" s="197">
        <v>0</v>
      </c>
      <c r="AY102" s="89">
        <f t="shared" si="156"/>
        <v>0</v>
      </c>
      <c r="AZ102" s="90">
        <f>(AV102-AY102)*AU102</f>
        <v>0</v>
      </c>
      <c r="BA102" s="90">
        <f t="shared" si="157"/>
        <v>75.952332015810271</v>
      </c>
      <c r="BB102" s="90">
        <f t="shared" si="158"/>
        <v>53.505652667984187</v>
      </c>
      <c r="BC102" s="166">
        <f t="shared" si="159"/>
        <v>0</v>
      </c>
      <c r="BD102" s="199">
        <v>0.6</v>
      </c>
      <c r="BE102" s="200">
        <f>BD102*BF103</f>
        <v>0.03</v>
      </c>
      <c r="BH102" s="213"/>
    </row>
    <row r="103" spans="2:60" ht="13.8" x14ac:dyDescent="0.3">
      <c r="B103" s="309"/>
      <c r="C103" s="319"/>
      <c r="D103" s="321"/>
      <c r="E103" s="94" t="str">
        <f t="shared" si="203"/>
        <v>nein</v>
      </c>
      <c r="F103" s="95"/>
      <c r="G103" s="96">
        <v>0</v>
      </c>
      <c r="H103" s="97">
        <v>0</v>
      </c>
      <c r="I103" s="107">
        <f t="shared" si="136"/>
        <v>0</v>
      </c>
      <c r="J103" s="99">
        <v>0</v>
      </c>
      <c r="K103" s="107">
        <f t="shared" si="204"/>
        <v>0</v>
      </c>
      <c r="L103" s="101"/>
      <c r="M103" s="107">
        <f t="shared" si="205"/>
        <v>0</v>
      </c>
      <c r="N103" s="99">
        <v>1</v>
      </c>
      <c r="O103" s="107">
        <f t="shared" si="206"/>
        <v>46.151818181818179</v>
      </c>
      <c r="P103" s="101">
        <v>1</v>
      </c>
      <c r="Q103" s="107">
        <f t="shared" si="207"/>
        <v>46.151818181818179</v>
      </c>
      <c r="R103" s="99">
        <v>0.5</v>
      </c>
      <c r="S103" s="107">
        <f t="shared" si="208"/>
        <v>22.318695652173915</v>
      </c>
      <c r="T103" s="101">
        <v>1</v>
      </c>
      <c r="U103" s="107">
        <f t="shared" si="209"/>
        <v>44.63739130434783</v>
      </c>
      <c r="V103" s="99"/>
      <c r="W103" s="107">
        <f t="shared" si="210"/>
        <v>0</v>
      </c>
      <c r="X103" s="101"/>
      <c r="Y103" s="107">
        <f t="shared" si="211"/>
        <v>0</v>
      </c>
      <c r="Z103" s="99"/>
      <c r="AA103" s="107">
        <f t="shared" si="212"/>
        <v>0</v>
      </c>
      <c r="AB103" s="101"/>
      <c r="AC103" s="107">
        <f t="shared" si="213"/>
        <v>0</v>
      </c>
      <c r="AD103" s="99"/>
      <c r="AE103" s="107">
        <f t="shared" si="214"/>
        <v>0</v>
      </c>
      <c r="AF103" s="101"/>
      <c r="AG103" s="107">
        <f t="shared" si="215"/>
        <v>0</v>
      </c>
      <c r="AH103" s="99"/>
      <c r="AI103" s="107">
        <f t="shared" si="216"/>
        <v>0</v>
      </c>
      <c r="AJ103" s="101"/>
      <c r="AK103" s="107">
        <f t="shared" si="217"/>
        <v>0</v>
      </c>
      <c r="AL103" s="99"/>
      <c r="AM103" s="107">
        <f t="shared" si="218"/>
        <v>0</v>
      </c>
      <c r="AN103" s="101"/>
      <c r="AO103" s="107">
        <f t="shared" si="219"/>
        <v>0</v>
      </c>
      <c r="AP103" s="99"/>
      <c r="AQ103" s="107">
        <f t="shared" si="220"/>
        <v>0</v>
      </c>
      <c r="AR103" s="101"/>
      <c r="AS103" s="107">
        <f t="shared" si="221"/>
        <v>0</v>
      </c>
      <c r="AT103" s="102">
        <f>AT102</f>
        <v>0</v>
      </c>
      <c r="AU103" s="103">
        <f t="shared" ref="AU103" si="222">AT103*0.9</f>
        <v>0</v>
      </c>
      <c r="AV103" s="104">
        <f>AV102</f>
        <v>0</v>
      </c>
      <c r="AW103" s="107">
        <f t="shared" si="155"/>
        <v>0</v>
      </c>
      <c r="AX103" s="105">
        <f>AX102</f>
        <v>0</v>
      </c>
      <c r="AY103" s="106">
        <f t="shared" si="156"/>
        <v>0</v>
      </c>
      <c r="AZ103" s="107">
        <f t="shared" ref="AZ103" si="223">(AV103-AY103)*AU103</f>
        <v>0</v>
      </c>
      <c r="BA103" s="107">
        <f t="shared" si="157"/>
        <v>68.470513833992101</v>
      </c>
      <c r="BB103" s="107">
        <f t="shared" si="158"/>
        <v>46.023834486166017</v>
      </c>
      <c r="BC103" s="107">
        <f t="shared" si="159"/>
        <v>0</v>
      </c>
      <c r="BD103" s="183">
        <v>0.4</v>
      </c>
      <c r="BE103" s="109">
        <f>BF103-BE102</f>
        <v>2.0000000000000004E-2</v>
      </c>
      <c r="BF103" s="205">
        <v>0.05</v>
      </c>
      <c r="BH103" s="213"/>
    </row>
    <row r="104" spans="2:60" ht="13.8" x14ac:dyDescent="0.3">
      <c r="B104" s="309"/>
      <c r="C104" s="319"/>
      <c r="D104" s="328" t="s">
        <v>58</v>
      </c>
      <c r="E104" s="187" t="str">
        <f t="shared" si="203"/>
        <v>ja</v>
      </c>
      <c r="F104" s="188"/>
      <c r="G104" s="189">
        <v>0</v>
      </c>
      <c r="H104" s="190">
        <v>0</v>
      </c>
      <c r="I104" s="118">
        <f t="shared" si="136"/>
        <v>0</v>
      </c>
      <c r="J104" s="192">
        <v>0.6</v>
      </c>
      <c r="K104" s="118">
        <f t="shared" si="204"/>
        <v>72.581999999999994</v>
      </c>
      <c r="L104" s="201">
        <v>0.7</v>
      </c>
      <c r="M104" s="118">
        <f t="shared" si="205"/>
        <v>84.678999999999988</v>
      </c>
      <c r="N104" s="192">
        <v>0.5</v>
      </c>
      <c r="O104" s="118">
        <f t="shared" si="206"/>
        <v>23.075909090909089</v>
      </c>
      <c r="P104" s="201">
        <v>1.5</v>
      </c>
      <c r="Q104" s="118">
        <f t="shared" si="207"/>
        <v>69.227727272727265</v>
      </c>
      <c r="R104" s="192">
        <v>1</v>
      </c>
      <c r="S104" s="118">
        <f t="shared" si="208"/>
        <v>44.63739130434783</v>
      </c>
      <c r="T104" s="201">
        <v>1</v>
      </c>
      <c r="U104" s="118">
        <f t="shared" si="209"/>
        <v>44.63739130434783</v>
      </c>
      <c r="V104" s="192"/>
      <c r="W104" s="118">
        <f t="shared" si="210"/>
        <v>0</v>
      </c>
      <c r="X104" s="201"/>
      <c r="Y104" s="118">
        <f t="shared" si="211"/>
        <v>0</v>
      </c>
      <c r="Z104" s="192">
        <v>1</v>
      </c>
      <c r="AA104" s="118">
        <f t="shared" si="212"/>
        <v>46.740476190476187</v>
      </c>
      <c r="AB104" s="201">
        <v>1</v>
      </c>
      <c r="AC104" s="118">
        <f t="shared" si="213"/>
        <v>46.740476190476187</v>
      </c>
      <c r="AD104" s="192"/>
      <c r="AE104" s="118">
        <f t="shared" si="214"/>
        <v>0</v>
      </c>
      <c r="AF104" s="201"/>
      <c r="AG104" s="118">
        <f t="shared" si="215"/>
        <v>0</v>
      </c>
      <c r="AH104" s="192"/>
      <c r="AI104" s="118">
        <f t="shared" si="216"/>
        <v>0</v>
      </c>
      <c r="AJ104" s="201"/>
      <c r="AK104" s="118">
        <f t="shared" si="217"/>
        <v>0</v>
      </c>
      <c r="AL104" s="192"/>
      <c r="AM104" s="118">
        <f t="shared" si="218"/>
        <v>0</v>
      </c>
      <c r="AN104" s="201"/>
      <c r="AO104" s="118">
        <f t="shared" si="219"/>
        <v>0</v>
      </c>
      <c r="AP104" s="192"/>
      <c r="AQ104" s="118">
        <f t="shared" si="220"/>
        <v>0</v>
      </c>
      <c r="AR104" s="201"/>
      <c r="AS104" s="118">
        <f t="shared" si="221"/>
        <v>0</v>
      </c>
      <c r="AT104" s="194">
        <v>0</v>
      </c>
      <c r="AU104" s="195">
        <f>AT104*0.9</f>
        <v>0</v>
      </c>
      <c r="AV104" s="196">
        <f>AV102</f>
        <v>0</v>
      </c>
      <c r="AW104" s="118">
        <f t="shared" si="155"/>
        <v>0</v>
      </c>
      <c r="AX104" s="197">
        <v>0</v>
      </c>
      <c r="AY104" s="123">
        <f t="shared" si="156"/>
        <v>0</v>
      </c>
      <c r="AZ104" s="118">
        <f>(AV104-AY104)*AU104</f>
        <v>0</v>
      </c>
      <c r="BA104" s="118">
        <f t="shared" si="157"/>
        <v>187.03577658573309</v>
      </c>
      <c r="BB104" s="118">
        <f t="shared" si="158"/>
        <v>200.51921976755128</v>
      </c>
      <c r="BC104" s="166">
        <f t="shared" si="159"/>
        <v>13.483443181818188</v>
      </c>
      <c r="BD104" s="199">
        <v>0.7</v>
      </c>
      <c r="BE104" s="200">
        <f>BD104*BF105</f>
        <v>0.24499999999999997</v>
      </c>
    </row>
    <row r="105" spans="2:60" ht="13.8" x14ac:dyDescent="0.3">
      <c r="B105" s="309"/>
      <c r="C105" s="319"/>
      <c r="D105" s="321"/>
      <c r="E105" s="94" t="str">
        <f t="shared" si="203"/>
        <v>nein</v>
      </c>
      <c r="F105" s="95"/>
      <c r="G105" s="96">
        <v>0</v>
      </c>
      <c r="H105" s="97">
        <v>0</v>
      </c>
      <c r="I105" s="98">
        <f t="shared" si="136"/>
        <v>0</v>
      </c>
      <c r="J105" s="99"/>
      <c r="K105" s="98">
        <f t="shared" si="204"/>
        <v>0</v>
      </c>
      <c r="L105" s="101"/>
      <c r="M105" s="98">
        <f t="shared" si="205"/>
        <v>0</v>
      </c>
      <c r="N105" s="99">
        <v>1</v>
      </c>
      <c r="O105" s="98">
        <f t="shared" si="206"/>
        <v>46.151818181818179</v>
      </c>
      <c r="P105" s="101">
        <v>2</v>
      </c>
      <c r="Q105" s="98">
        <f t="shared" si="207"/>
        <v>92.303636363636357</v>
      </c>
      <c r="R105" s="99">
        <v>1</v>
      </c>
      <c r="S105" s="98">
        <f t="shared" si="208"/>
        <v>44.63739130434783</v>
      </c>
      <c r="T105" s="101">
        <v>1.5</v>
      </c>
      <c r="U105" s="98">
        <f t="shared" si="209"/>
        <v>66.956086956521744</v>
      </c>
      <c r="V105" s="99"/>
      <c r="W105" s="98">
        <f t="shared" si="210"/>
        <v>0</v>
      </c>
      <c r="X105" s="101"/>
      <c r="Y105" s="98">
        <f t="shared" si="211"/>
        <v>0</v>
      </c>
      <c r="Z105" s="99">
        <v>1</v>
      </c>
      <c r="AA105" s="98">
        <f t="shared" si="212"/>
        <v>46.740476190476187</v>
      </c>
      <c r="AB105" s="101">
        <v>1</v>
      </c>
      <c r="AC105" s="98">
        <f t="shared" si="213"/>
        <v>46.740476190476187</v>
      </c>
      <c r="AD105" s="99"/>
      <c r="AE105" s="98">
        <f t="shared" si="214"/>
        <v>0</v>
      </c>
      <c r="AF105" s="101"/>
      <c r="AG105" s="98">
        <f t="shared" si="215"/>
        <v>0</v>
      </c>
      <c r="AH105" s="99"/>
      <c r="AI105" s="98">
        <f t="shared" si="216"/>
        <v>0</v>
      </c>
      <c r="AJ105" s="101"/>
      <c r="AK105" s="98">
        <f t="shared" si="217"/>
        <v>0</v>
      </c>
      <c r="AL105" s="99"/>
      <c r="AM105" s="98">
        <f t="shared" si="218"/>
        <v>0</v>
      </c>
      <c r="AN105" s="101"/>
      <c r="AO105" s="98">
        <f t="shared" si="219"/>
        <v>0</v>
      </c>
      <c r="AP105" s="99"/>
      <c r="AQ105" s="98">
        <f t="shared" si="220"/>
        <v>0</v>
      </c>
      <c r="AR105" s="101"/>
      <c r="AS105" s="98">
        <f t="shared" si="221"/>
        <v>0</v>
      </c>
      <c r="AT105" s="102">
        <f>AT104</f>
        <v>0</v>
      </c>
      <c r="AU105" s="103">
        <f t="shared" ref="AU105" si="224">AT105*0.9</f>
        <v>0</v>
      </c>
      <c r="AV105" s="104">
        <f>AV104</f>
        <v>0</v>
      </c>
      <c r="AW105" s="98">
        <f t="shared" si="155"/>
        <v>0</v>
      </c>
      <c r="AX105" s="105">
        <f>AX104</f>
        <v>0</v>
      </c>
      <c r="AY105" s="106">
        <f t="shared" si="156"/>
        <v>0</v>
      </c>
      <c r="AZ105" s="98">
        <f>(AV105-AY105)*AU105</f>
        <v>0</v>
      </c>
      <c r="BA105" s="98">
        <f t="shared" si="157"/>
        <v>137.5296856766422</v>
      </c>
      <c r="BB105" s="98">
        <f t="shared" si="158"/>
        <v>161.2348245106343</v>
      </c>
      <c r="BC105" s="107">
        <f t="shared" si="159"/>
        <v>23.705138833992095</v>
      </c>
      <c r="BD105" s="183">
        <v>0.3</v>
      </c>
      <c r="BE105" s="109">
        <f>BF105-BE104</f>
        <v>0.10500000000000001</v>
      </c>
      <c r="BF105" s="205">
        <v>0.35</v>
      </c>
    </row>
    <row r="106" spans="2:60" ht="13.8" x14ac:dyDescent="0.3">
      <c r="B106" s="309"/>
      <c r="C106" s="319"/>
      <c r="D106" s="322" t="s">
        <v>60</v>
      </c>
      <c r="E106" s="187" t="str">
        <f t="shared" si="203"/>
        <v>ja</v>
      </c>
      <c r="F106" s="188"/>
      <c r="G106" s="189">
        <v>0</v>
      </c>
      <c r="H106" s="190">
        <v>0</v>
      </c>
      <c r="I106" s="118">
        <f t="shared" si="136"/>
        <v>0</v>
      </c>
      <c r="J106" s="192">
        <v>0.8</v>
      </c>
      <c r="K106" s="118">
        <f t="shared" si="204"/>
        <v>96.77600000000001</v>
      </c>
      <c r="L106" s="201">
        <v>1</v>
      </c>
      <c r="M106" s="118">
        <f t="shared" si="205"/>
        <v>120.97</v>
      </c>
      <c r="N106" s="192">
        <v>1</v>
      </c>
      <c r="O106" s="118">
        <f t="shared" si="206"/>
        <v>46.151818181818179</v>
      </c>
      <c r="P106" s="201">
        <v>2</v>
      </c>
      <c r="Q106" s="118">
        <f t="shared" si="207"/>
        <v>92.303636363636357</v>
      </c>
      <c r="R106" s="192">
        <v>1</v>
      </c>
      <c r="S106" s="118">
        <f t="shared" si="208"/>
        <v>44.63739130434783</v>
      </c>
      <c r="T106" s="201">
        <v>1</v>
      </c>
      <c r="U106" s="118">
        <f t="shared" si="209"/>
        <v>44.63739130434783</v>
      </c>
      <c r="V106" s="192"/>
      <c r="W106" s="118">
        <f t="shared" si="210"/>
        <v>0</v>
      </c>
      <c r="X106" s="201"/>
      <c r="Y106" s="118">
        <f t="shared" si="211"/>
        <v>0</v>
      </c>
      <c r="Z106" s="192"/>
      <c r="AA106" s="118">
        <f t="shared" si="212"/>
        <v>0</v>
      </c>
      <c r="AB106" s="201"/>
      <c r="AC106" s="118">
        <f t="shared" si="213"/>
        <v>0</v>
      </c>
      <c r="AD106" s="192"/>
      <c r="AE106" s="118">
        <f t="shared" si="214"/>
        <v>0</v>
      </c>
      <c r="AF106" s="201"/>
      <c r="AG106" s="118">
        <f t="shared" si="215"/>
        <v>0</v>
      </c>
      <c r="AH106" s="192"/>
      <c r="AI106" s="118">
        <f t="shared" si="216"/>
        <v>0</v>
      </c>
      <c r="AJ106" s="201"/>
      <c r="AK106" s="118">
        <f t="shared" si="217"/>
        <v>0</v>
      </c>
      <c r="AL106" s="192"/>
      <c r="AM106" s="118">
        <f t="shared" si="218"/>
        <v>0</v>
      </c>
      <c r="AN106" s="201"/>
      <c r="AO106" s="118">
        <f t="shared" si="219"/>
        <v>0</v>
      </c>
      <c r="AP106" s="192"/>
      <c r="AQ106" s="118">
        <f t="shared" si="220"/>
        <v>0</v>
      </c>
      <c r="AR106" s="201"/>
      <c r="AS106" s="118">
        <f t="shared" si="221"/>
        <v>0</v>
      </c>
      <c r="AT106" s="194">
        <v>0</v>
      </c>
      <c r="AU106" s="195">
        <f>AT106*0.9</f>
        <v>0</v>
      </c>
      <c r="AV106" s="196">
        <f>AV104</f>
        <v>0</v>
      </c>
      <c r="AW106" s="118">
        <f t="shared" si="155"/>
        <v>0</v>
      </c>
      <c r="AX106" s="197">
        <v>0</v>
      </c>
      <c r="AY106" s="123">
        <f t="shared" si="156"/>
        <v>0</v>
      </c>
      <c r="AZ106" s="118">
        <f>(AV106-AY106)*AU106</f>
        <v>0</v>
      </c>
      <c r="BA106" s="118">
        <f t="shared" si="157"/>
        <v>187.56520948616603</v>
      </c>
      <c r="BB106" s="118">
        <f t="shared" si="158"/>
        <v>213.14565266798417</v>
      </c>
      <c r="BC106" s="166">
        <f t="shared" si="159"/>
        <v>25.58044318181814</v>
      </c>
      <c r="BD106" s="199">
        <v>0.6</v>
      </c>
      <c r="BE106" s="200">
        <f>BD106*BF107</f>
        <v>0.03</v>
      </c>
    </row>
    <row r="107" spans="2:60" ht="13.8" x14ac:dyDescent="0.3">
      <c r="B107" s="309"/>
      <c r="C107" s="319"/>
      <c r="D107" s="323"/>
      <c r="E107" s="94" t="str">
        <f t="shared" si="203"/>
        <v>nein</v>
      </c>
      <c r="F107" s="95"/>
      <c r="G107" s="96">
        <v>0</v>
      </c>
      <c r="H107" s="97">
        <v>0</v>
      </c>
      <c r="I107" s="98">
        <f t="shared" si="136"/>
        <v>0</v>
      </c>
      <c r="J107" s="99"/>
      <c r="K107" s="98">
        <f t="shared" si="204"/>
        <v>0</v>
      </c>
      <c r="L107" s="101"/>
      <c r="M107" s="98">
        <f t="shared" si="205"/>
        <v>0</v>
      </c>
      <c r="N107" s="99">
        <v>1</v>
      </c>
      <c r="O107" s="98">
        <f t="shared" si="206"/>
        <v>46.151818181818179</v>
      </c>
      <c r="P107" s="101">
        <v>2.5</v>
      </c>
      <c r="Q107" s="98">
        <f t="shared" si="207"/>
        <v>115.37954545454545</v>
      </c>
      <c r="R107" s="99">
        <v>1</v>
      </c>
      <c r="S107" s="98">
        <f t="shared" si="208"/>
        <v>44.63739130434783</v>
      </c>
      <c r="T107" s="101">
        <v>1.5</v>
      </c>
      <c r="U107" s="98">
        <f t="shared" si="209"/>
        <v>66.956086956521744</v>
      </c>
      <c r="V107" s="99"/>
      <c r="W107" s="98">
        <f t="shared" si="210"/>
        <v>0</v>
      </c>
      <c r="X107" s="101"/>
      <c r="Y107" s="98">
        <f t="shared" si="211"/>
        <v>0</v>
      </c>
      <c r="Z107" s="99"/>
      <c r="AA107" s="98">
        <f t="shared" si="212"/>
        <v>0</v>
      </c>
      <c r="AB107" s="101"/>
      <c r="AC107" s="98">
        <f t="shared" si="213"/>
        <v>0</v>
      </c>
      <c r="AD107" s="99"/>
      <c r="AE107" s="98">
        <f t="shared" si="214"/>
        <v>0</v>
      </c>
      <c r="AF107" s="101"/>
      <c r="AG107" s="98">
        <f t="shared" si="215"/>
        <v>0</v>
      </c>
      <c r="AH107" s="99"/>
      <c r="AI107" s="98">
        <f t="shared" si="216"/>
        <v>0</v>
      </c>
      <c r="AJ107" s="101"/>
      <c r="AK107" s="98">
        <f t="shared" si="217"/>
        <v>0</v>
      </c>
      <c r="AL107" s="99"/>
      <c r="AM107" s="98">
        <f t="shared" si="218"/>
        <v>0</v>
      </c>
      <c r="AN107" s="101"/>
      <c r="AO107" s="98">
        <f t="shared" si="219"/>
        <v>0</v>
      </c>
      <c r="AP107" s="99"/>
      <c r="AQ107" s="98">
        <f t="shared" si="220"/>
        <v>0</v>
      </c>
      <c r="AR107" s="101"/>
      <c r="AS107" s="98">
        <f t="shared" si="221"/>
        <v>0</v>
      </c>
      <c r="AT107" s="102">
        <f>AT106</f>
        <v>0</v>
      </c>
      <c r="AU107" s="103">
        <f t="shared" ref="AU107" si="225">AT107*0.9</f>
        <v>0</v>
      </c>
      <c r="AV107" s="104">
        <f>AV106</f>
        <v>0</v>
      </c>
      <c r="AW107" s="98">
        <f t="shared" si="155"/>
        <v>0</v>
      </c>
      <c r="AX107" s="105">
        <f>AX106</f>
        <v>0</v>
      </c>
      <c r="AY107" s="106">
        <f t="shared" si="156"/>
        <v>0</v>
      </c>
      <c r="AZ107" s="98">
        <f t="shared" ref="AZ107" si="226">(AV107-AY107)*AU107</f>
        <v>0</v>
      </c>
      <c r="BA107" s="98">
        <f t="shared" si="157"/>
        <v>90.789209486166015</v>
      </c>
      <c r="BB107" s="98">
        <f t="shared" si="158"/>
        <v>137.57025741106719</v>
      </c>
      <c r="BC107" s="107">
        <f t="shared" si="159"/>
        <v>46.781047924901173</v>
      </c>
      <c r="BD107" s="183">
        <v>0.4</v>
      </c>
      <c r="BE107" s="109">
        <f>BF107-BE106</f>
        <v>2.0000000000000004E-2</v>
      </c>
      <c r="BF107" s="205">
        <v>0.05</v>
      </c>
    </row>
    <row r="108" spans="2:60" ht="13.8" x14ac:dyDescent="0.3">
      <c r="B108" s="309"/>
      <c r="C108" s="319"/>
      <c r="D108" s="324" t="s">
        <v>61</v>
      </c>
      <c r="E108" s="187" t="str">
        <f t="shared" si="203"/>
        <v>ja</v>
      </c>
      <c r="F108" s="188"/>
      <c r="G108" s="189">
        <v>0</v>
      </c>
      <c r="H108" s="190">
        <v>0</v>
      </c>
      <c r="I108" s="118">
        <f t="shared" si="136"/>
        <v>0</v>
      </c>
      <c r="J108" s="192">
        <v>0.8</v>
      </c>
      <c r="K108" s="118">
        <f t="shared" si="204"/>
        <v>96.77600000000001</v>
      </c>
      <c r="L108" s="201">
        <v>1</v>
      </c>
      <c r="M108" s="118">
        <f t="shared" si="205"/>
        <v>120.97</v>
      </c>
      <c r="N108" s="192">
        <v>1</v>
      </c>
      <c r="O108" s="118">
        <f t="shared" si="206"/>
        <v>46.151818181818179</v>
      </c>
      <c r="P108" s="201">
        <v>2</v>
      </c>
      <c r="Q108" s="118">
        <f t="shared" si="207"/>
        <v>92.303636363636357</v>
      </c>
      <c r="R108" s="192">
        <v>1</v>
      </c>
      <c r="S108" s="118">
        <f t="shared" si="208"/>
        <v>44.63739130434783</v>
      </c>
      <c r="T108" s="201">
        <v>1</v>
      </c>
      <c r="U108" s="118">
        <f t="shared" si="209"/>
        <v>44.63739130434783</v>
      </c>
      <c r="V108" s="192"/>
      <c r="W108" s="118">
        <f t="shared" si="210"/>
        <v>0</v>
      </c>
      <c r="X108" s="201"/>
      <c r="Y108" s="118">
        <f t="shared" si="211"/>
        <v>0</v>
      </c>
      <c r="Z108" s="192"/>
      <c r="AA108" s="118">
        <f t="shared" si="212"/>
        <v>0</v>
      </c>
      <c r="AB108" s="201"/>
      <c r="AC108" s="118">
        <f t="shared" si="213"/>
        <v>0</v>
      </c>
      <c r="AD108" s="192"/>
      <c r="AE108" s="118">
        <f t="shared" si="214"/>
        <v>0</v>
      </c>
      <c r="AF108" s="201"/>
      <c r="AG108" s="118">
        <f t="shared" si="215"/>
        <v>0</v>
      </c>
      <c r="AH108" s="192"/>
      <c r="AI108" s="118">
        <f t="shared" si="216"/>
        <v>0</v>
      </c>
      <c r="AJ108" s="201"/>
      <c r="AK108" s="118">
        <f t="shared" si="217"/>
        <v>0</v>
      </c>
      <c r="AL108" s="192"/>
      <c r="AM108" s="118">
        <f t="shared" si="218"/>
        <v>0</v>
      </c>
      <c r="AN108" s="201"/>
      <c r="AO108" s="118">
        <f t="shared" si="219"/>
        <v>0</v>
      </c>
      <c r="AP108" s="192"/>
      <c r="AQ108" s="118">
        <f t="shared" si="220"/>
        <v>0</v>
      </c>
      <c r="AR108" s="201"/>
      <c r="AS108" s="118">
        <f t="shared" si="221"/>
        <v>0</v>
      </c>
      <c r="AT108" s="194">
        <v>0</v>
      </c>
      <c r="AU108" s="195">
        <f>AT108*0.9</f>
        <v>0</v>
      </c>
      <c r="AV108" s="196">
        <f>AV106</f>
        <v>0</v>
      </c>
      <c r="AW108" s="118">
        <f t="shared" si="155"/>
        <v>0</v>
      </c>
      <c r="AX108" s="197">
        <v>0</v>
      </c>
      <c r="AY108" s="123">
        <f t="shared" si="156"/>
        <v>0</v>
      </c>
      <c r="AZ108" s="118">
        <f>(AV108-AY108)*AU108</f>
        <v>0</v>
      </c>
      <c r="BA108" s="118">
        <f t="shared" si="157"/>
        <v>187.56520948616603</v>
      </c>
      <c r="BB108" s="118">
        <f t="shared" si="158"/>
        <v>213.14565266798417</v>
      </c>
      <c r="BC108" s="166">
        <f t="shared" si="159"/>
        <v>25.58044318181814</v>
      </c>
      <c r="BD108" s="199">
        <v>0.6</v>
      </c>
      <c r="BE108" s="200">
        <f>BD108*BF109</f>
        <v>0.09</v>
      </c>
    </row>
    <row r="109" spans="2:60" ht="13.8" x14ac:dyDescent="0.3">
      <c r="B109" s="309"/>
      <c r="C109" s="319"/>
      <c r="D109" s="325"/>
      <c r="E109" s="94" t="str">
        <f t="shared" si="203"/>
        <v>nein</v>
      </c>
      <c r="F109" s="95"/>
      <c r="G109" s="96">
        <v>0</v>
      </c>
      <c r="H109" s="97">
        <v>0</v>
      </c>
      <c r="I109" s="98">
        <f t="shared" si="136"/>
        <v>0</v>
      </c>
      <c r="J109" s="99"/>
      <c r="K109" s="98">
        <f t="shared" si="204"/>
        <v>0</v>
      </c>
      <c r="L109" s="101"/>
      <c r="M109" s="98">
        <f t="shared" si="205"/>
        <v>0</v>
      </c>
      <c r="N109" s="99">
        <v>1</v>
      </c>
      <c r="O109" s="98">
        <f t="shared" si="206"/>
        <v>46.151818181818179</v>
      </c>
      <c r="P109" s="101">
        <v>2.5</v>
      </c>
      <c r="Q109" s="98">
        <f t="shared" si="207"/>
        <v>115.37954545454545</v>
      </c>
      <c r="R109" s="99">
        <v>1</v>
      </c>
      <c r="S109" s="98">
        <f t="shared" si="208"/>
        <v>44.63739130434783</v>
      </c>
      <c r="T109" s="101">
        <v>1.5</v>
      </c>
      <c r="U109" s="98">
        <f t="shared" si="209"/>
        <v>66.956086956521744</v>
      </c>
      <c r="V109" s="99"/>
      <c r="W109" s="98">
        <f t="shared" si="210"/>
        <v>0</v>
      </c>
      <c r="X109" s="101"/>
      <c r="Y109" s="98">
        <f t="shared" si="211"/>
        <v>0</v>
      </c>
      <c r="Z109" s="99"/>
      <c r="AA109" s="98">
        <f t="shared" si="212"/>
        <v>0</v>
      </c>
      <c r="AB109" s="101"/>
      <c r="AC109" s="98">
        <f t="shared" si="213"/>
        <v>0</v>
      </c>
      <c r="AD109" s="99"/>
      <c r="AE109" s="98">
        <f t="shared" si="214"/>
        <v>0</v>
      </c>
      <c r="AF109" s="101"/>
      <c r="AG109" s="98">
        <f t="shared" si="215"/>
        <v>0</v>
      </c>
      <c r="AH109" s="99"/>
      <c r="AI109" s="98">
        <f t="shared" si="216"/>
        <v>0</v>
      </c>
      <c r="AJ109" s="101"/>
      <c r="AK109" s="98">
        <f t="shared" si="217"/>
        <v>0</v>
      </c>
      <c r="AL109" s="99"/>
      <c r="AM109" s="98">
        <f t="shared" si="218"/>
        <v>0</v>
      </c>
      <c r="AN109" s="101"/>
      <c r="AO109" s="98">
        <f t="shared" si="219"/>
        <v>0</v>
      </c>
      <c r="AP109" s="99"/>
      <c r="AQ109" s="98">
        <f t="shared" si="220"/>
        <v>0</v>
      </c>
      <c r="AR109" s="101"/>
      <c r="AS109" s="98">
        <f t="shared" si="221"/>
        <v>0</v>
      </c>
      <c r="AT109" s="102">
        <f>AT108</f>
        <v>0</v>
      </c>
      <c r="AU109" s="103">
        <f t="shared" ref="AU109" si="227">AT109*0.9</f>
        <v>0</v>
      </c>
      <c r="AV109" s="104">
        <f>AV108</f>
        <v>0</v>
      </c>
      <c r="AW109" s="98">
        <f t="shared" si="155"/>
        <v>0</v>
      </c>
      <c r="AX109" s="105">
        <f>AX108</f>
        <v>0</v>
      </c>
      <c r="AY109" s="106">
        <f t="shared" si="156"/>
        <v>0</v>
      </c>
      <c r="AZ109" s="98">
        <f t="shared" ref="AZ109" si="228">(AV109-AY109)*AU109</f>
        <v>0</v>
      </c>
      <c r="BA109" s="98">
        <f t="shared" si="157"/>
        <v>90.789209486166015</v>
      </c>
      <c r="BB109" s="98">
        <f t="shared" si="158"/>
        <v>137.57025741106719</v>
      </c>
      <c r="BC109" s="107">
        <f t="shared" si="159"/>
        <v>46.781047924901173</v>
      </c>
      <c r="BD109" s="183">
        <v>0.4</v>
      </c>
      <c r="BE109" s="109">
        <f>BF109-BE108</f>
        <v>0.06</v>
      </c>
      <c r="BF109" s="205">
        <v>0.15</v>
      </c>
    </row>
    <row r="110" spans="2:60" ht="13.8" x14ac:dyDescent="0.3">
      <c r="B110" s="309"/>
      <c r="C110" s="319"/>
      <c r="D110" s="329" t="s">
        <v>62</v>
      </c>
      <c r="E110" s="214" t="str">
        <f t="shared" si="203"/>
        <v>ja</v>
      </c>
      <c r="F110" s="188" t="str">
        <f>F79</f>
        <v>Dikotylizid</v>
      </c>
      <c r="G110" s="202">
        <v>0.5</v>
      </c>
      <c r="H110" s="203">
        <v>25</v>
      </c>
      <c r="I110" s="118">
        <f t="shared" si="136"/>
        <v>27.8185</v>
      </c>
      <c r="J110" s="192">
        <v>0.1</v>
      </c>
      <c r="K110" s="118">
        <f t="shared" si="204"/>
        <v>12.097000000000001</v>
      </c>
      <c r="L110" s="201">
        <v>0.3</v>
      </c>
      <c r="M110" s="118">
        <f t="shared" si="205"/>
        <v>36.290999999999997</v>
      </c>
      <c r="N110" s="192">
        <v>1</v>
      </c>
      <c r="O110" s="118">
        <f t="shared" si="206"/>
        <v>46.151818181818179</v>
      </c>
      <c r="P110" s="201">
        <v>2.5</v>
      </c>
      <c r="Q110" s="118">
        <f t="shared" si="207"/>
        <v>115.37954545454545</v>
      </c>
      <c r="R110" s="192">
        <v>1</v>
      </c>
      <c r="S110" s="118">
        <f t="shared" si="208"/>
        <v>44.63739130434783</v>
      </c>
      <c r="T110" s="201">
        <v>1.5</v>
      </c>
      <c r="U110" s="118">
        <f t="shared" si="209"/>
        <v>66.956086956521744</v>
      </c>
      <c r="V110" s="192"/>
      <c r="W110" s="118">
        <f t="shared" si="210"/>
        <v>0</v>
      </c>
      <c r="X110" s="201">
        <v>1</v>
      </c>
      <c r="Y110" s="118">
        <f t="shared" si="211"/>
        <v>16.785354141656661</v>
      </c>
      <c r="Z110" s="192"/>
      <c r="AA110" s="118">
        <f t="shared" si="212"/>
        <v>0</v>
      </c>
      <c r="AB110" s="201"/>
      <c r="AC110" s="118">
        <f t="shared" si="213"/>
        <v>0</v>
      </c>
      <c r="AD110" s="192"/>
      <c r="AE110" s="118">
        <f t="shared" si="214"/>
        <v>0</v>
      </c>
      <c r="AF110" s="201"/>
      <c r="AG110" s="118">
        <f t="shared" si="215"/>
        <v>0</v>
      </c>
      <c r="AH110" s="192"/>
      <c r="AI110" s="118">
        <f t="shared" si="216"/>
        <v>0</v>
      </c>
      <c r="AJ110" s="201"/>
      <c r="AK110" s="118">
        <f t="shared" si="217"/>
        <v>0</v>
      </c>
      <c r="AL110" s="192"/>
      <c r="AM110" s="118">
        <f t="shared" si="218"/>
        <v>0</v>
      </c>
      <c r="AN110" s="201"/>
      <c r="AO110" s="118">
        <f t="shared" si="219"/>
        <v>0</v>
      </c>
      <c r="AP110" s="192"/>
      <c r="AQ110" s="118">
        <f t="shared" si="220"/>
        <v>0</v>
      </c>
      <c r="AR110" s="201"/>
      <c r="AS110" s="118">
        <f t="shared" si="221"/>
        <v>0</v>
      </c>
      <c r="AT110" s="194">
        <v>0</v>
      </c>
      <c r="AU110" s="195">
        <f>AT110*0.9</f>
        <v>0</v>
      </c>
      <c r="AV110" s="196">
        <f>AV108</f>
        <v>0</v>
      </c>
      <c r="AW110" s="118">
        <f t="shared" si="155"/>
        <v>0</v>
      </c>
      <c r="AX110" s="197">
        <v>0</v>
      </c>
      <c r="AY110" s="123">
        <f t="shared" si="156"/>
        <v>0</v>
      </c>
      <c r="AZ110" s="118">
        <f>(AV110-AY110)*AU110</f>
        <v>0</v>
      </c>
      <c r="BA110" s="118">
        <f t="shared" si="157"/>
        <v>102.88620948616601</v>
      </c>
      <c r="BB110" s="118">
        <f t="shared" si="158"/>
        <v>218.46511155272384</v>
      </c>
      <c r="BC110" s="166">
        <f t="shared" si="159"/>
        <v>115.57890206655783</v>
      </c>
      <c r="BD110" s="199">
        <v>0.6</v>
      </c>
      <c r="BE110" s="200">
        <f>BD110*BF111</f>
        <v>0.12</v>
      </c>
    </row>
    <row r="111" spans="2:60" ht="13.8" x14ac:dyDescent="0.3">
      <c r="B111" s="309"/>
      <c r="C111" s="319"/>
      <c r="D111" s="330"/>
      <c r="E111" s="94" t="str">
        <f t="shared" si="203"/>
        <v>nein</v>
      </c>
      <c r="F111" s="95" t="str">
        <f>F110</f>
        <v>Dikotylizid</v>
      </c>
      <c r="G111" s="96">
        <v>1</v>
      </c>
      <c r="H111" s="97">
        <v>25</v>
      </c>
      <c r="I111" s="98">
        <f t="shared" si="136"/>
        <v>40.318499999999993</v>
      </c>
      <c r="J111" s="99"/>
      <c r="K111" s="98">
        <f t="shared" si="204"/>
        <v>0</v>
      </c>
      <c r="L111" s="215"/>
      <c r="M111" s="98">
        <f t="shared" si="205"/>
        <v>0</v>
      </c>
      <c r="N111" s="99">
        <v>1</v>
      </c>
      <c r="O111" s="98">
        <f t="shared" si="206"/>
        <v>46.151818181818179</v>
      </c>
      <c r="P111" s="215">
        <v>3.5</v>
      </c>
      <c r="Q111" s="98">
        <f t="shared" si="207"/>
        <v>161.53136363636364</v>
      </c>
      <c r="R111" s="99">
        <v>2</v>
      </c>
      <c r="S111" s="98">
        <f t="shared" si="208"/>
        <v>89.274782608695659</v>
      </c>
      <c r="T111" s="215">
        <v>2</v>
      </c>
      <c r="U111" s="98">
        <f t="shared" si="209"/>
        <v>89.274782608695659</v>
      </c>
      <c r="V111" s="99"/>
      <c r="W111" s="98">
        <f t="shared" si="210"/>
        <v>0</v>
      </c>
      <c r="X111" s="215">
        <v>1</v>
      </c>
      <c r="Y111" s="98">
        <f t="shared" si="211"/>
        <v>16.785354141656661</v>
      </c>
      <c r="Z111" s="99"/>
      <c r="AA111" s="98">
        <f t="shared" si="212"/>
        <v>0</v>
      </c>
      <c r="AB111" s="215"/>
      <c r="AC111" s="98">
        <f t="shared" si="213"/>
        <v>0</v>
      </c>
      <c r="AD111" s="99"/>
      <c r="AE111" s="98">
        <f t="shared" si="214"/>
        <v>0</v>
      </c>
      <c r="AF111" s="215"/>
      <c r="AG111" s="98">
        <f t="shared" si="215"/>
        <v>0</v>
      </c>
      <c r="AH111" s="99"/>
      <c r="AI111" s="98">
        <f t="shared" si="216"/>
        <v>0</v>
      </c>
      <c r="AJ111" s="215"/>
      <c r="AK111" s="98">
        <f t="shared" si="217"/>
        <v>0</v>
      </c>
      <c r="AL111" s="99"/>
      <c r="AM111" s="98">
        <f t="shared" si="218"/>
        <v>0</v>
      </c>
      <c r="AN111" s="215"/>
      <c r="AO111" s="98">
        <f t="shared" si="219"/>
        <v>0</v>
      </c>
      <c r="AP111" s="99"/>
      <c r="AQ111" s="98">
        <f t="shared" si="220"/>
        <v>0</v>
      </c>
      <c r="AR111" s="215"/>
      <c r="AS111" s="98">
        <f t="shared" si="221"/>
        <v>0</v>
      </c>
      <c r="AT111" s="102">
        <f>AT110</f>
        <v>0</v>
      </c>
      <c r="AU111" s="103">
        <f t="shared" ref="AU111" si="229">AT111*0.9</f>
        <v>0</v>
      </c>
      <c r="AV111" s="104">
        <f>AV110</f>
        <v>0</v>
      </c>
      <c r="AW111" s="98">
        <f t="shared" si="155"/>
        <v>0</v>
      </c>
      <c r="AX111" s="105">
        <f>AX110</f>
        <v>0</v>
      </c>
      <c r="AY111" s="106">
        <f t="shared" si="156"/>
        <v>0</v>
      </c>
      <c r="AZ111" s="98">
        <f t="shared" ref="AZ111" si="230">(AV111-AY111)*AU111</f>
        <v>0</v>
      </c>
      <c r="BA111" s="98">
        <f t="shared" si="157"/>
        <v>135.42660079051385</v>
      </c>
      <c r="BB111" s="98">
        <f t="shared" si="158"/>
        <v>263.14462538671597</v>
      </c>
      <c r="BC111" s="216">
        <f t="shared" si="159"/>
        <v>127.71802459620213</v>
      </c>
      <c r="BD111" s="183">
        <v>0.4</v>
      </c>
      <c r="BE111" s="109">
        <f>BF111-BE110</f>
        <v>8.0000000000000016E-2</v>
      </c>
      <c r="BF111" s="205">
        <v>0.2</v>
      </c>
    </row>
    <row r="112" spans="2:60" ht="13.8" x14ac:dyDescent="0.3">
      <c r="B112" s="309"/>
      <c r="C112" s="319"/>
      <c r="D112" s="329" t="s">
        <v>63</v>
      </c>
      <c r="E112" s="110" t="str">
        <f t="shared" si="203"/>
        <v>ja</v>
      </c>
      <c r="F112" s="111"/>
      <c r="G112" s="112">
        <v>0</v>
      </c>
      <c r="H112" s="113">
        <v>0</v>
      </c>
      <c r="I112" s="191">
        <f t="shared" si="136"/>
        <v>0</v>
      </c>
      <c r="J112" s="115">
        <v>0.4</v>
      </c>
      <c r="K112" s="191">
        <f t="shared" si="204"/>
        <v>48.388000000000005</v>
      </c>
      <c r="L112" s="217">
        <v>0.5</v>
      </c>
      <c r="M112" s="191">
        <f t="shared" si="205"/>
        <v>60.484999999999999</v>
      </c>
      <c r="N112" s="115">
        <v>0.6</v>
      </c>
      <c r="O112" s="191">
        <f t="shared" si="206"/>
        <v>27.691090909090907</v>
      </c>
      <c r="P112" s="217">
        <v>0.5</v>
      </c>
      <c r="Q112" s="191">
        <f t="shared" si="207"/>
        <v>23.075909090909089</v>
      </c>
      <c r="R112" s="115"/>
      <c r="S112" s="191">
        <f t="shared" si="208"/>
        <v>0</v>
      </c>
      <c r="T112" s="217"/>
      <c r="U112" s="191">
        <f t="shared" si="209"/>
        <v>0</v>
      </c>
      <c r="V112" s="115"/>
      <c r="W112" s="191">
        <f t="shared" si="210"/>
        <v>0</v>
      </c>
      <c r="X112" s="217"/>
      <c r="Y112" s="191">
        <f t="shared" si="211"/>
        <v>0</v>
      </c>
      <c r="Z112" s="115"/>
      <c r="AA112" s="191">
        <f t="shared" si="212"/>
        <v>0</v>
      </c>
      <c r="AB112" s="217"/>
      <c r="AC112" s="191">
        <f t="shared" si="213"/>
        <v>0</v>
      </c>
      <c r="AD112" s="115"/>
      <c r="AE112" s="191">
        <f t="shared" si="214"/>
        <v>0</v>
      </c>
      <c r="AF112" s="217"/>
      <c r="AG112" s="191">
        <f t="shared" si="215"/>
        <v>0</v>
      </c>
      <c r="AH112" s="115"/>
      <c r="AI112" s="191">
        <f t="shared" si="216"/>
        <v>0</v>
      </c>
      <c r="AJ112" s="217"/>
      <c r="AK112" s="191">
        <f t="shared" si="217"/>
        <v>0</v>
      </c>
      <c r="AL112" s="115"/>
      <c r="AM112" s="191">
        <f t="shared" si="218"/>
        <v>0</v>
      </c>
      <c r="AN112" s="217"/>
      <c r="AO112" s="191">
        <f t="shared" si="219"/>
        <v>0</v>
      </c>
      <c r="AP112" s="115"/>
      <c r="AQ112" s="191">
        <f t="shared" si="220"/>
        <v>0</v>
      </c>
      <c r="AR112" s="217"/>
      <c r="AS112" s="191">
        <f t="shared" si="221"/>
        <v>0</v>
      </c>
      <c r="AT112" s="119">
        <v>0</v>
      </c>
      <c r="AU112" s="120">
        <f>AT112*0.9</f>
        <v>0</v>
      </c>
      <c r="AV112" s="121">
        <f>AV110</f>
        <v>0</v>
      </c>
      <c r="AW112" s="191">
        <f t="shared" si="155"/>
        <v>0</v>
      </c>
      <c r="AX112" s="122">
        <v>0</v>
      </c>
      <c r="AY112" s="198">
        <f t="shared" si="156"/>
        <v>0</v>
      </c>
      <c r="AZ112" s="191">
        <f>(AV112-AY112)*AU112</f>
        <v>0</v>
      </c>
      <c r="BA112" s="191">
        <f t="shared" si="157"/>
        <v>76.079090909090908</v>
      </c>
      <c r="BB112" s="191">
        <f t="shared" si="158"/>
        <v>38.795534090909094</v>
      </c>
      <c r="BC112" s="166">
        <f t="shared" si="159"/>
        <v>0</v>
      </c>
      <c r="BD112" s="184">
        <v>0.4</v>
      </c>
      <c r="BE112" s="125">
        <f>BD112*BF113</f>
        <v>7.999999999999996E-2</v>
      </c>
      <c r="BH112" s="213"/>
    </row>
    <row r="113" spans="2:60" ht="14.4" thickBot="1" x14ac:dyDescent="0.35">
      <c r="B113" s="309"/>
      <c r="C113" s="319"/>
      <c r="D113" s="301"/>
      <c r="E113" s="218" t="str">
        <f t="shared" si="203"/>
        <v>nein</v>
      </c>
      <c r="F113" s="219"/>
      <c r="G113" s="220">
        <v>0</v>
      </c>
      <c r="H113" s="221">
        <v>0</v>
      </c>
      <c r="I113" s="98">
        <f t="shared" si="136"/>
        <v>0</v>
      </c>
      <c r="J113" s="222"/>
      <c r="K113" s="98">
        <f t="shared" si="204"/>
        <v>0</v>
      </c>
      <c r="L113" s="223"/>
      <c r="M113" s="98">
        <f t="shared" si="205"/>
        <v>0</v>
      </c>
      <c r="N113" s="222">
        <v>1</v>
      </c>
      <c r="O113" s="98">
        <f t="shared" si="206"/>
        <v>46.151818181818179</v>
      </c>
      <c r="P113" s="223">
        <v>1</v>
      </c>
      <c r="Q113" s="98">
        <f t="shared" si="207"/>
        <v>46.151818181818179</v>
      </c>
      <c r="R113" s="222"/>
      <c r="S113" s="98">
        <f t="shared" si="208"/>
        <v>0</v>
      </c>
      <c r="T113" s="223"/>
      <c r="U113" s="98">
        <f t="shared" si="209"/>
        <v>0</v>
      </c>
      <c r="V113" s="222"/>
      <c r="W113" s="98">
        <f t="shared" si="210"/>
        <v>0</v>
      </c>
      <c r="X113" s="223"/>
      <c r="Y113" s="98">
        <f t="shared" si="211"/>
        <v>0</v>
      </c>
      <c r="Z113" s="222"/>
      <c r="AA113" s="98">
        <f t="shared" si="212"/>
        <v>0</v>
      </c>
      <c r="AB113" s="223"/>
      <c r="AC113" s="98">
        <f t="shared" si="213"/>
        <v>0</v>
      </c>
      <c r="AD113" s="222"/>
      <c r="AE113" s="98">
        <f t="shared" si="214"/>
        <v>0</v>
      </c>
      <c r="AF113" s="223"/>
      <c r="AG113" s="98">
        <f t="shared" si="215"/>
        <v>0</v>
      </c>
      <c r="AH113" s="222"/>
      <c r="AI113" s="98">
        <f t="shared" si="216"/>
        <v>0</v>
      </c>
      <c r="AJ113" s="223"/>
      <c r="AK113" s="98">
        <f t="shared" si="217"/>
        <v>0</v>
      </c>
      <c r="AL113" s="222"/>
      <c r="AM113" s="98">
        <f t="shared" si="218"/>
        <v>0</v>
      </c>
      <c r="AN113" s="223"/>
      <c r="AO113" s="98">
        <f t="shared" si="219"/>
        <v>0</v>
      </c>
      <c r="AP113" s="222"/>
      <c r="AQ113" s="98">
        <f t="shared" si="220"/>
        <v>0</v>
      </c>
      <c r="AR113" s="223"/>
      <c r="AS113" s="98">
        <f t="shared" si="221"/>
        <v>0</v>
      </c>
      <c r="AT113" s="224">
        <f>AT112</f>
        <v>0</v>
      </c>
      <c r="AU113" s="225">
        <f t="shared" ref="AU113" si="231">AT113*0.9</f>
        <v>0</v>
      </c>
      <c r="AV113" s="226">
        <f>AV112</f>
        <v>0</v>
      </c>
      <c r="AW113" s="98">
        <f t="shared" si="155"/>
        <v>0</v>
      </c>
      <c r="AX113" s="227">
        <f>AX112</f>
        <v>0</v>
      </c>
      <c r="AY113" s="106">
        <f t="shared" si="156"/>
        <v>0</v>
      </c>
      <c r="AZ113" s="98">
        <f t="shared" ref="AZ113" si="232">(AV113-AY113)*AU113</f>
        <v>0</v>
      </c>
      <c r="BA113" s="98">
        <f t="shared" si="157"/>
        <v>46.151818181818179</v>
      </c>
      <c r="BB113" s="98">
        <f t="shared" si="158"/>
        <v>1.3864431818181799</v>
      </c>
      <c r="BC113" s="228">
        <f t="shared" si="159"/>
        <v>0</v>
      </c>
      <c r="BD113" s="229">
        <v>0.6</v>
      </c>
      <c r="BE113" s="230">
        <f>BF113-BE112</f>
        <v>0.11999999999999994</v>
      </c>
      <c r="BF113" s="167">
        <f>1-BF103-BF105-BF107-BF109-BF111</f>
        <v>0.1999999999999999</v>
      </c>
      <c r="BH113" s="213"/>
    </row>
    <row r="114" spans="2:60" ht="13.8" x14ac:dyDescent="0.3">
      <c r="B114" s="309"/>
      <c r="C114" s="319"/>
      <c r="D114" s="326" t="s">
        <v>64</v>
      </c>
      <c r="E114" s="77" t="s">
        <v>57</v>
      </c>
      <c r="F114" s="141"/>
      <c r="G114" s="142"/>
      <c r="H114" s="143"/>
      <c r="I114" s="144"/>
      <c r="J114" s="145"/>
      <c r="K114" s="144"/>
      <c r="L114" s="146"/>
      <c r="M114" s="144"/>
      <c r="N114" s="145"/>
      <c r="O114" s="144"/>
      <c r="P114" s="146"/>
      <c r="Q114" s="144"/>
      <c r="R114" s="145"/>
      <c r="S114" s="144"/>
      <c r="T114" s="146"/>
      <c r="U114" s="144"/>
      <c r="V114" s="145"/>
      <c r="W114" s="144"/>
      <c r="X114" s="146"/>
      <c r="Y114" s="144"/>
      <c r="Z114" s="145"/>
      <c r="AA114" s="144"/>
      <c r="AB114" s="146"/>
      <c r="AC114" s="144"/>
      <c r="AD114" s="145"/>
      <c r="AE114" s="144"/>
      <c r="AF114" s="146"/>
      <c r="AG114" s="144"/>
      <c r="AH114" s="145"/>
      <c r="AI114" s="144"/>
      <c r="AJ114" s="146"/>
      <c r="AK114" s="144"/>
      <c r="AL114" s="145"/>
      <c r="AM114" s="144"/>
      <c r="AN114" s="146"/>
      <c r="AO114" s="144"/>
      <c r="AP114" s="145"/>
      <c r="AQ114" s="144"/>
      <c r="AR114" s="146"/>
      <c r="AS114" s="144"/>
      <c r="AT114" s="147"/>
      <c r="AU114" s="147"/>
      <c r="AV114" s="148"/>
      <c r="AW114" s="144"/>
      <c r="AX114" s="148"/>
      <c r="AY114" s="148"/>
      <c r="AZ114" s="144"/>
      <c r="BA114" s="144"/>
      <c r="BB114" s="144"/>
      <c r="BC114" s="164">
        <f>(BC102*BE102+BC104*BE104+BC106*BE106+BC108*BE108+BC110*BE110+BC112*BE112)/(BE102+BE104+BE106+BE108+BE110+BE112)</f>
        <v>34.021117662774074</v>
      </c>
      <c r="BD114" s="150"/>
      <c r="BE114" s="92">
        <f>BE102+BE104+BE106+BE108+BE110+BE112</f>
        <v>0.59499999999999986</v>
      </c>
      <c r="BH114" s="213"/>
    </row>
    <row r="115" spans="2:60" ht="14.4" thickBot="1" x14ac:dyDescent="0.35">
      <c r="B115" s="309"/>
      <c r="C115" s="319"/>
      <c r="D115" s="327"/>
      <c r="E115" s="126" t="s">
        <v>59</v>
      </c>
      <c r="F115" s="231"/>
      <c r="G115" s="232"/>
      <c r="H115" s="233"/>
      <c r="I115" s="55"/>
      <c r="J115" s="234"/>
      <c r="K115" s="55"/>
      <c r="L115" s="235"/>
      <c r="M115" s="55"/>
      <c r="N115" s="234"/>
      <c r="O115" s="55"/>
      <c r="P115" s="235"/>
      <c r="Q115" s="55"/>
      <c r="R115" s="234"/>
      <c r="S115" s="55"/>
      <c r="T115" s="235"/>
      <c r="U115" s="55"/>
      <c r="V115" s="234"/>
      <c r="W115" s="55"/>
      <c r="X115" s="235"/>
      <c r="Y115" s="55"/>
      <c r="Z115" s="234"/>
      <c r="AA115" s="55"/>
      <c r="AB115" s="235"/>
      <c r="AC115" s="55"/>
      <c r="AD115" s="234"/>
      <c r="AE115" s="55"/>
      <c r="AF115" s="235"/>
      <c r="AG115" s="55"/>
      <c r="AH115" s="234"/>
      <c r="AI115" s="55"/>
      <c r="AJ115" s="235"/>
      <c r="AK115" s="55"/>
      <c r="AL115" s="234"/>
      <c r="AM115" s="55"/>
      <c r="AN115" s="235"/>
      <c r="AO115" s="55"/>
      <c r="AP115" s="234"/>
      <c r="AQ115" s="55"/>
      <c r="AR115" s="235"/>
      <c r="AS115" s="55"/>
      <c r="AT115" s="236"/>
      <c r="AU115" s="236"/>
      <c r="AV115" s="237"/>
      <c r="AW115" s="55"/>
      <c r="AX115" s="237"/>
      <c r="AY115" s="237"/>
      <c r="AZ115" s="55"/>
      <c r="BA115" s="55"/>
      <c r="BB115" s="55"/>
      <c r="BC115" s="169">
        <f>(BC103*BE103+BC105*BE105+BC107*BE107+BC109*BE109+BC111*BE111+BC113*BE113)/(BE103+BE105+BE107+BE109+BE111+BE113)</f>
        <v>40.614729331499845</v>
      </c>
      <c r="BD115" s="238"/>
      <c r="BE115" s="140">
        <f>BE103+BE105+BE107+BE109+BE111+BE113</f>
        <v>0.40499999999999997</v>
      </c>
      <c r="BH115" s="213"/>
    </row>
    <row r="116" spans="2:60" ht="16.2" thickBot="1" x14ac:dyDescent="0.35">
      <c r="B116" s="173" t="s">
        <v>70</v>
      </c>
      <c r="C116" s="239"/>
      <c r="D116" s="240"/>
      <c r="E116" s="175"/>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7">
        <f>(BC114*BE114+BC115*BE115)/(BE114+BE115)</f>
        <v>36.691530388608015</v>
      </c>
      <c r="BD116" s="211"/>
      <c r="BE116" s="212"/>
      <c r="BH116" s="213"/>
    </row>
    <row r="117" spans="2:60" ht="13.8" x14ac:dyDescent="0.3">
      <c r="B117" s="308" t="s">
        <v>62</v>
      </c>
      <c r="C117" s="318" t="s">
        <v>59</v>
      </c>
      <c r="D117" s="320" t="s">
        <v>56</v>
      </c>
      <c r="E117" s="77" t="str">
        <f>E102</f>
        <v>ja</v>
      </c>
      <c r="F117" s="78"/>
      <c r="G117" s="79">
        <v>0</v>
      </c>
      <c r="H117" s="80">
        <v>0</v>
      </c>
      <c r="I117" s="81">
        <f t="shared" si="136"/>
        <v>0</v>
      </c>
      <c r="J117" s="82">
        <v>0.1</v>
      </c>
      <c r="K117" s="81">
        <f t="shared" ref="K117:K122" si="233">J117*(J$10*$C$6+L$10)</f>
        <v>12.097000000000001</v>
      </c>
      <c r="L117" s="84">
        <v>0.1</v>
      </c>
      <c r="M117" s="81">
        <f t="shared" ref="M117:M122" si="234">L117*(J$10*$C$6+L$10)</f>
        <v>12.097000000000001</v>
      </c>
      <c r="N117" s="82">
        <v>0.9</v>
      </c>
      <c r="O117" s="81">
        <f t="shared" ref="O117:O122" si="235">N117*(N$10*$C$6+P$10)</f>
        <v>41.536636363636362</v>
      </c>
      <c r="P117" s="84">
        <v>1.5</v>
      </c>
      <c r="Q117" s="81">
        <f t="shared" ref="Q117:Q122" si="236">P117*(N$10*$C$6+P$10)</f>
        <v>69.227727272727265</v>
      </c>
      <c r="R117" s="82">
        <v>0.5</v>
      </c>
      <c r="S117" s="81">
        <f t="shared" ref="S117:S122" si="237">R117*(R$10*$C$6+T$10)</f>
        <v>22.318695652173915</v>
      </c>
      <c r="T117" s="84">
        <v>1</v>
      </c>
      <c r="U117" s="81">
        <f t="shared" ref="U117:U122" si="238">T117*(R$10*$C$6+T$10)</f>
        <v>44.63739130434783</v>
      </c>
      <c r="V117" s="82"/>
      <c r="W117" s="81">
        <f t="shared" ref="W117:W122" si="239">V117*(V$10*$C$6+X$10)</f>
        <v>0</v>
      </c>
      <c r="X117" s="84"/>
      <c r="Y117" s="81">
        <f t="shared" ref="Y117:Y122" si="240">X117*(V$10*$C$6+X$10)</f>
        <v>0</v>
      </c>
      <c r="Z117" s="82"/>
      <c r="AA117" s="81">
        <f t="shared" ref="AA117:AA122" si="241">Z117*(Z$10*$C$6+AB$10)</f>
        <v>0</v>
      </c>
      <c r="AB117" s="84"/>
      <c r="AC117" s="81">
        <f t="shared" ref="AC117:AC122" si="242">AB117*(Z$10*$C$6+AB$10)</f>
        <v>0</v>
      </c>
      <c r="AD117" s="82"/>
      <c r="AE117" s="81">
        <f t="shared" ref="AE117:AE122" si="243">AD117*(AD$10*$C$6+AF$10)</f>
        <v>0</v>
      </c>
      <c r="AF117" s="84"/>
      <c r="AG117" s="81">
        <f t="shared" ref="AG117:AG122" si="244">AF117*(AD$10*$C$6+AF$10)</f>
        <v>0</v>
      </c>
      <c r="AH117" s="82"/>
      <c r="AI117" s="81">
        <f t="shared" ref="AI117:AI122" si="245">AH117*(AH$10*$C$6+AJ$10)</f>
        <v>0</v>
      </c>
      <c r="AJ117" s="84"/>
      <c r="AK117" s="81">
        <f t="shared" ref="AK117:AK122" si="246">AJ117*(AH$10*$C$6+AJ$10)</f>
        <v>0</v>
      </c>
      <c r="AL117" s="82"/>
      <c r="AM117" s="81">
        <f t="shared" ref="AM117:AM122" si="247">AL117*(AL$10*$C$6+AN$10)</f>
        <v>0</v>
      </c>
      <c r="AN117" s="84"/>
      <c r="AO117" s="81">
        <f t="shared" ref="AO117:AO122" si="248">AN117*(AL$10*$C$6+AN$10)</f>
        <v>0</v>
      </c>
      <c r="AP117" s="82"/>
      <c r="AQ117" s="81">
        <f t="shared" ref="AQ117:AQ122" si="249">AP117*(AP$10*$C$6+AR$10)</f>
        <v>0</v>
      </c>
      <c r="AR117" s="84"/>
      <c r="AS117" s="81">
        <f t="shared" ref="AS117:AS122" si="250">AR117*(AP$10*$C$6+AR$10)</f>
        <v>0</v>
      </c>
      <c r="AT117" s="85">
        <v>0</v>
      </c>
      <c r="AU117" s="86">
        <f>AT117*0.9</f>
        <v>0</v>
      </c>
      <c r="AV117" s="87">
        <v>0</v>
      </c>
      <c r="AW117" s="81">
        <f t="shared" si="155"/>
        <v>0</v>
      </c>
      <c r="AX117" s="88">
        <v>0</v>
      </c>
      <c r="AY117" s="89">
        <f t="shared" si="156"/>
        <v>0</v>
      </c>
      <c r="AZ117" s="81">
        <f>(AV117-AY117)*AU117</f>
        <v>0</v>
      </c>
      <c r="BA117" s="81">
        <f t="shared" si="157"/>
        <v>75.952332015810271</v>
      </c>
      <c r="BB117" s="81">
        <f t="shared" si="158"/>
        <v>81.196743577075097</v>
      </c>
      <c r="BC117" s="164">
        <f t="shared" si="159"/>
        <v>5.2444115612648261</v>
      </c>
      <c r="BD117" s="181">
        <v>0.6</v>
      </c>
      <c r="BE117" s="92">
        <f>BD117*BF118</f>
        <v>0</v>
      </c>
      <c r="BH117" s="213"/>
    </row>
    <row r="118" spans="2:60" ht="13.8" x14ac:dyDescent="0.3">
      <c r="B118" s="309"/>
      <c r="C118" s="319"/>
      <c r="D118" s="321"/>
      <c r="E118" s="94" t="str">
        <f>E103</f>
        <v>nein</v>
      </c>
      <c r="F118" s="95"/>
      <c r="G118" s="96">
        <v>0</v>
      </c>
      <c r="H118" s="97">
        <v>0</v>
      </c>
      <c r="I118" s="98">
        <f t="shared" si="136"/>
        <v>0</v>
      </c>
      <c r="J118" s="99">
        <v>0</v>
      </c>
      <c r="K118" s="98">
        <f t="shared" si="233"/>
        <v>0</v>
      </c>
      <c r="L118" s="101"/>
      <c r="M118" s="98">
        <f t="shared" si="234"/>
        <v>0</v>
      </c>
      <c r="N118" s="99">
        <v>1</v>
      </c>
      <c r="O118" s="98">
        <f t="shared" si="235"/>
        <v>46.151818181818179</v>
      </c>
      <c r="P118" s="101">
        <v>1.5</v>
      </c>
      <c r="Q118" s="98">
        <f t="shared" si="236"/>
        <v>69.227727272727265</v>
      </c>
      <c r="R118" s="99">
        <v>0.5</v>
      </c>
      <c r="S118" s="98">
        <f t="shared" si="237"/>
        <v>22.318695652173915</v>
      </c>
      <c r="T118" s="101">
        <v>1</v>
      </c>
      <c r="U118" s="98">
        <f t="shared" si="238"/>
        <v>44.63739130434783</v>
      </c>
      <c r="V118" s="99"/>
      <c r="W118" s="98">
        <f t="shared" si="239"/>
        <v>0</v>
      </c>
      <c r="X118" s="101"/>
      <c r="Y118" s="98">
        <f t="shared" si="240"/>
        <v>0</v>
      </c>
      <c r="Z118" s="99"/>
      <c r="AA118" s="98">
        <f t="shared" si="241"/>
        <v>0</v>
      </c>
      <c r="AB118" s="101"/>
      <c r="AC118" s="98">
        <f t="shared" si="242"/>
        <v>0</v>
      </c>
      <c r="AD118" s="99"/>
      <c r="AE118" s="98">
        <f t="shared" si="243"/>
        <v>0</v>
      </c>
      <c r="AF118" s="101"/>
      <c r="AG118" s="98">
        <f t="shared" si="244"/>
        <v>0</v>
      </c>
      <c r="AH118" s="99"/>
      <c r="AI118" s="98">
        <f t="shared" si="245"/>
        <v>0</v>
      </c>
      <c r="AJ118" s="101"/>
      <c r="AK118" s="98">
        <f t="shared" si="246"/>
        <v>0</v>
      </c>
      <c r="AL118" s="99"/>
      <c r="AM118" s="98">
        <f t="shared" si="247"/>
        <v>0</v>
      </c>
      <c r="AN118" s="101"/>
      <c r="AO118" s="98">
        <f t="shared" si="248"/>
        <v>0</v>
      </c>
      <c r="AP118" s="99"/>
      <c r="AQ118" s="98">
        <f t="shared" si="249"/>
        <v>0</v>
      </c>
      <c r="AR118" s="101"/>
      <c r="AS118" s="98">
        <f t="shared" si="250"/>
        <v>0</v>
      </c>
      <c r="AT118" s="102">
        <f>AT117</f>
        <v>0</v>
      </c>
      <c r="AU118" s="103">
        <f t="shared" ref="AU118" si="251">AT118*0.9</f>
        <v>0</v>
      </c>
      <c r="AV118" s="104">
        <f>AV117</f>
        <v>0</v>
      </c>
      <c r="AW118" s="98">
        <f t="shared" si="155"/>
        <v>0</v>
      </c>
      <c r="AX118" s="105">
        <f>AX117</f>
        <v>0</v>
      </c>
      <c r="AY118" s="106">
        <f t="shared" si="156"/>
        <v>0</v>
      </c>
      <c r="AZ118" s="98">
        <f t="shared" ref="AZ118" si="252">(AV118-AY118)*AU118</f>
        <v>0</v>
      </c>
      <c r="BA118" s="98">
        <f t="shared" si="157"/>
        <v>68.470513833992101</v>
      </c>
      <c r="BB118" s="98">
        <f t="shared" si="158"/>
        <v>69.099743577075088</v>
      </c>
      <c r="BC118" s="107">
        <f t="shared" si="159"/>
        <v>0.62922974308298762</v>
      </c>
      <c r="BD118" s="183">
        <v>0.4</v>
      </c>
      <c r="BE118" s="109">
        <f>BF118-BE117</f>
        <v>0</v>
      </c>
      <c r="BF118" s="205">
        <v>0</v>
      </c>
      <c r="BH118" s="213"/>
    </row>
    <row r="119" spans="2:60" ht="13.8" x14ac:dyDescent="0.3">
      <c r="B119" s="309"/>
      <c r="C119" s="319"/>
      <c r="D119" s="322" t="s">
        <v>60</v>
      </c>
      <c r="E119" s="187" t="str">
        <f>E106</f>
        <v>ja</v>
      </c>
      <c r="F119" s="188" t="s">
        <v>71</v>
      </c>
      <c r="G119" s="202">
        <v>0.5</v>
      </c>
      <c r="H119" s="203">
        <v>25</v>
      </c>
      <c r="I119" s="241">
        <f>IF(G119=0,0,G119*H119+$H$5+$H$6)</f>
        <v>27.8185</v>
      </c>
      <c r="J119" s="192">
        <v>0.6</v>
      </c>
      <c r="K119" s="241">
        <f t="shared" si="233"/>
        <v>72.581999999999994</v>
      </c>
      <c r="L119" s="201">
        <v>0.9</v>
      </c>
      <c r="M119" s="241">
        <f t="shared" si="234"/>
        <v>108.873</v>
      </c>
      <c r="N119" s="192">
        <v>1</v>
      </c>
      <c r="O119" s="241">
        <f t="shared" si="235"/>
        <v>46.151818181818179</v>
      </c>
      <c r="P119" s="201">
        <v>2</v>
      </c>
      <c r="Q119" s="241">
        <f t="shared" si="236"/>
        <v>92.303636363636357</v>
      </c>
      <c r="R119" s="192">
        <v>1</v>
      </c>
      <c r="S119" s="241">
        <f t="shared" si="237"/>
        <v>44.63739130434783</v>
      </c>
      <c r="T119" s="201">
        <v>1.5</v>
      </c>
      <c r="U119" s="241">
        <f t="shared" si="238"/>
        <v>66.956086956521744</v>
      </c>
      <c r="V119" s="192"/>
      <c r="W119" s="241">
        <f t="shared" si="239"/>
        <v>0</v>
      </c>
      <c r="X119" s="201"/>
      <c r="Y119" s="241">
        <f t="shared" si="240"/>
        <v>0</v>
      </c>
      <c r="Z119" s="192"/>
      <c r="AA119" s="241">
        <f t="shared" si="241"/>
        <v>0</v>
      </c>
      <c r="AB119" s="201"/>
      <c r="AC119" s="241">
        <f t="shared" si="242"/>
        <v>0</v>
      </c>
      <c r="AD119" s="192"/>
      <c r="AE119" s="241">
        <f t="shared" si="243"/>
        <v>0</v>
      </c>
      <c r="AF119" s="201"/>
      <c r="AG119" s="241">
        <f t="shared" si="244"/>
        <v>0</v>
      </c>
      <c r="AH119" s="192"/>
      <c r="AI119" s="241">
        <f t="shared" si="245"/>
        <v>0</v>
      </c>
      <c r="AJ119" s="201"/>
      <c r="AK119" s="241">
        <f t="shared" si="246"/>
        <v>0</v>
      </c>
      <c r="AL119" s="192"/>
      <c r="AM119" s="241">
        <f t="shared" si="247"/>
        <v>0</v>
      </c>
      <c r="AN119" s="201"/>
      <c r="AO119" s="241">
        <f t="shared" si="248"/>
        <v>0</v>
      </c>
      <c r="AP119" s="192"/>
      <c r="AQ119" s="241">
        <f t="shared" si="249"/>
        <v>0</v>
      </c>
      <c r="AR119" s="201"/>
      <c r="AS119" s="241">
        <f t="shared" si="250"/>
        <v>0</v>
      </c>
      <c r="AT119" s="194">
        <v>0</v>
      </c>
      <c r="AU119" s="195">
        <f>AT119*0.9</f>
        <v>0</v>
      </c>
      <c r="AV119" s="196">
        <f>AV117</f>
        <v>0</v>
      </c>
      <c r="AW119" s="241">
        <f>AV119*(AT119-AU119)</f>
        <v>0</v>
      </c>
      <c r="AX119" s="197">
        <v>0</v>
      </c>
      <c r="AY119" s="198">
        <f>AV119-AX119</f>
        <v>0</v>
      </c>
      <c r="AZ119" s="241">
        <f>(AV119-AY119)*AU119</f>
        <v>0</v>
      </c>
      <c r="BA119" s="241">
        <f>IF(SUM(AO119+AD119+Z119+V119+R119+N119+J119)=0,0,K119+O119+S119+W119+AA119+AE119+AH119+AL119+AP119+AX119)</f>
        <v>163.37120948616601</v>
      </c>
      <c r="BB119" s="241">
        <f>IF(SUM(AR119+AF119+AB119+X119+T119+P119+L119)=0,0,I119+M119+Q119+U119+Y119+AC119+AG119+AK119+AO119+AS119+AW119+AZ119-$H$8)</f>
        <v>251.18584832015813</v>
      </c>
      <c r="BC119" s="166">
        <f>IF(BB119-BA119&gt;0,BB119-BA119,0)</f>
        <v>87.81463883399212</v>
      </c>
      <c r="BD119" s="199">
        <v>0.6</v>
      </c>
      <c r="BE119" s="200">
        <f>BD119*BF120</f>
        <v>0.06</v>
      </c>
      <c r="BH119" s="213"/>
    </row>
    <row r="120" spans="2:60" ht="13.8" x14ac:dyDescent="0.3">
      <c r="B120" s="309"/>
      <c r="C120" s="319"/>
      <c r="D120" s="323"/>
      <c r="E120" s="94" t="str">
        <f>E107</f>
        <v>nein</v>
      </c>
      <c r="F120" s="95" t="str">
        <f>F119</f>
        <v>Graminizid</v>
      </c>
      <c r="G120" s="96">
        <v>1</v>
      </c>
      <c r="H120" s="97">
        <v>25</v>
      </c>
      <c r="I120" s="98">
        <f>IF(G120=0,0,G120*H120+$H$5+$H$6)</f>
        <v>40.318499999999993</v>
      </c>
      <c r="J120" s="99"/>
      <c r="K120" s="98">
        <f t="shared" si="233"/>
        <v>0</v>
      </c>
      <c r="L120" s="101"/>
      <c r="M120" s="98">
        <f t="shared" si="234"/>
        <v>0</v>
      </c>
      <c r="N120" s="99">
        <v>1</v>
      </c>
      <c r="O120" s="98">
        <f t="shared" si="235"/>
        <v>46.151818181818179</v>
      </c>
      <c r="P120" s="101">
        <v>2</v>
      </c>
      <c r="Q120" s="98">
        <f t="shared" si="236"/>
        <v>92.303636363636357</v>
      </c>
      <c r="R120" s="99">
        <v>1</v>
      </c>
      <c r="S120" s="98">
        <f t="shared" si="237"/>
        <v>44.63739130434783</v>
      </c>
      <c r="T120" s="101">
        <v>2</v>
      </c>
      <c r="U120" s="98">
        <f t="shared" si="238"/>
        <v>89.274782608695659</v>
      </c>
      <c r="V120" s="99"/>
      <c r="W120" s="98">
        <f t="shared" si="239"/>
        <v>0</v>
      </c>
      <c r="X120" s="101"/>
      <c r="Y120" s="98">
        <f t="shared" si="240"/>
        <v>0</v>
      </c>
      <c r="Z120" s="99"/>
      <c r="AA120" s="98">
        <f t="shared" si="241"/>
        <v>0</v>
      </c>
      <c r="AB120" s="101"/>
      <c r="AC120" s="98">
        <f t="shared" si="242"/>
        <v>0</v>
      </c>
      <c r="AD120" s="99"/>
      <c r="AE120" s="98">
        <f t="shared" si="243"/>
        <v>0</v>
      </c>
      <c r="AF120" s="101"/>
      <c r="AG120" s="98">
        <f t="shared" si="244"/>
        <v>0</v>
      </c>
      <c r="AH120" s="99"/>
      <c r="AI120" s="98">
        <f t="shared" si="245"/>
        <v>0</v>
      </c>
      <c r="AJ120" s="101"/>
      <c r="AK120" s="98">
        <f t="shared" si="246"/>
        <v>0</v>
      </c>
      <c r="AL120" s="99"/>
      <c r="AM120" s="98">
        <f t="shared" si="247"/>
        <v>0</v>
      </c>
      <c r="AN120" s="101"/>
      <c r="AO120" s="98">
        <f t="shared" si="248"/>
        <v>0</v>
      </c>
      <c r="AP120" s="99"/>
      <c r="AQ120" s="98">
        <f t="shared" si="249"/>
        <v>0</v>
      </c>
      <c r="AR120" s="101"/>
      <c r="AS120" s="98">
        <f t="shared" si="250"/>
        <v>0</v>
      </c>
      <c r="AT120" s="102">
        <f>AT119</f>
        <v>0</v>
      </c>
      <c r="AU120" s="103">
        <f t="shared" ref="AU120" si="253">AT120*0.9</f>
        <v>0</v>
      </c>
      <c r="AV120" s="104">
        <f>AV119</f>
        <v>0</v>
      </c>
      <c r="AW120" s="98">
        <f>AV120*(AT120-AU120)</f>
        <v>0</v>
      </c>
      <c r="AX120" s="105">
        <f>AX119</f>
        <v>0</v>
      </c>
      <c r="AY120" s="106">
        <f>AV120-AX120</f>
        <v>0</v>
      </c>
      <c r="AZ120" s="98">
        <f t="shared" ref="AZ120" si="254">(AV120-AY120)*AU120</f>
        <v>0</v>
      </c>
      <c r="BA120" s="98">
        <f>IF(SUM(AO120+AD120+Z120+V120+R120+N120+J120)=0,0,K120+O120+S120+W120+AA120+AE120+AH120+AL120+AP120+AX120)</f>
        <v>90.789209486166015</v>
      </c>
      <c r="BB120" s="98">
        <f>IF(SUM(AR120+AF120+AB120+X120+T120+P120+L120)=0,0,I120+M120+Q120+U120+Y120+AC120+AG120+AK120+AO120+AS120+AW120+AZ120-$H$8)</f>
        <v>177.131543972332</v>
      </c>
      <c r="BC120" s="107">
        <f>IF(BB120-BA120&gt;0,BB120-BA120,0)</f>
        <v>86.342334486165981</v>
      </c>
      <c r="BD120" s="183">
        <v>0.4</v>
      </c>
      <c r="BE120" s="109">
        <f>BF120-BE119</f>
        <v>4.0000000000000008E-2</v>
      </c>
      <c r="BF120" s="205">
        <v>0.1</v>
      </c>
      <c r="BH120" s="213"/>
    </row>
    <row r="121" spans="2:60" ht="13.8" x14ac:dyDescent="0.3">
      <c r="B121" s="309"/>
      <c r="C121" s="319"/>
      <c r="D121" s="324" t="s">
        <v>61</v>
      </c>
      <c r="E121" s="187" t="str">
        <f>E108</f>
        <v>ja</v>
      </c>
      <c r="F121" s="188" t="str">
        <f>F119</f>
        <v>Graminizid</v>
      </c>
      <c r="G121" s="202">
        <v>0.5</v>
      </c>
      <c r="H121" s="203">
        <v>25</v>
      </c>
      <c r="I121" s="241">
        <f>IF(G121=0,0,G121*H121+$H$5+$H$6)</f>
        <v>27.8185</v>
      </c>
      <c r="J121" s="192">
        <v>0.6</v>
      </c>
      <c r="K121" s="241">
        <f t="shared" si="233"/>
        <v>72.581999999999994</v>
      </c>
      <c r="L121" s="201">
        <v>0.9</v>
      </c>
      <c r="M121" s="241">
        <f t="shared" si="234"/>
        <v>108.873</v>
      </c>
      <c r="N121" s="192">
        <v>1</v>
      </c>
      <c r="O121" s="241">
        <f t="shared" si="235"/>
        <v>46.151818181818179</v>
      </c>
      <c r="P121" s="201">
        <v>2.5</v>
      </c>
      <c r="Q121" s="241">
        <f t="shared" si="236"/>
        <v>115.37954545454545</v>
      </c>
      <c r="R121" s="192">
        <v>1</v>
      </c>
      <c r="S121" s="241">
        <f t="shared" si="237"/>
        <v>44.63739130434783</v>
      </c>
      <c r="T121" s="201">
        <v>1</v>
      </c>
      <c r="U121" s="241">
        <f t="shared" si="238"/>
        <v>44.63739130434783</v>
      </c>
      <c r="V121" s="192"/>
      <c r="W121" s="241">
        <f t="shared" si="239"/>
        <v>0</v>
      </c>
      <c r="X121" s="201"/>
      <c r="Y121" s="241">
        <f t="shared" si="240"/>
        <v>0</v>
      </c>
      <c r="Z121" s="192"/>
      <c r="AA121" s="241">
        <f t="shared" si="241"/>
        <v>0</v>
      </c>
      <c r="AB121" s="201"/>
      <c r="AC121" s="241">
        <f t="shared" si="242"/>
        <v>0</v>
      </c>
      <c r="AD121" s="192"/>
      <c r="AE121" s="241">
        <f t="shared" si="243"/>
        <v>0</v>
      </c>
      <c r="AF121" s="201"/>
      <c r="AG121" s="241">
        <f t="shared" si="244"/>
        <v>0</v>
      </c>
      <c r="AH121" s="192"/>
      <c r="AI121" s="241">
        <f t="shared" si="245"/>
        <v>0</v>
      </c>
      <c r="AJ121" s="201"/>
      <c r="AK121" s="241">
        <f t="shared" si="246"/>
        <v>0</v>
      </c>
      <c r="AL121" s="192"/>
      <c r="AM121" s="241">
        <f t="shared" si="247"/>
        <v>0</v>
      </c>
      <c r="AN121" s="201"/>
      <c r="AO121" s="241">
        <f t="shared" si="248"/>
        <v>0</v>
      </c>
      <c r="AP121" s="192"/>
      <c r="AQ121" s="241">
        <f t="shared" si="249"/>
        <v>0</v>
      </c>
      <c r="AR121" s="201"/>
      <c r="AS121" s="241">
        <f t="shared" si="250"/>
        <v>0</v>
      </c>
      <c r="AT121" s="194">
        <v>0</v>
      </c>
      <c r="AU121" s="195">
        <f>AT121*0.9</f>
        <v>0</v>
      </c>
      <c r="AV121" s="196">
        <f>AV119</f>
        <v>0</v>
      </c>
      <c r="AW121" s="241">
        <f>AV121*(AT121-AU121)</f>
        <v>0</v>
      </c>
      <c r="AX121" s="197">
        <v>0</v>
      </c>
      <c r="AY121" s="198">
        <f>AV121-AX121</f>
        <v>0</v>
      </c>
      <c r="AZ121" s="241">
        <f>(AV121-AY121)*AU121</f>
        <v>0</v>
      </c>
      <c r="BA121" s="241">
        <f>IF(SUM(AO121+AD121+Z121+V121+R121+N121+J121)=0,0,K121+O121+S121+W121+AA121+AE121+AH121+AL121+AP121+AX121)</f>
        <v>163.37120948616601</v>
      </c>
      <c r="BB121" s="241">
        <f>IF(SUM(AR121+AF121+AB121+X121+T121+P121+L121)=0,0,I121+M121+Q121+U121+Y121+AC121+AG121+AK121+AO121+AS121+AW121+AZ121-$H$8)</f>
        <v>251.94306175889329</v>
      </c>
      <c r="BC121" s="166">
        <f>IF(BB121-BA121&gt;0,BB121-BA121,0)</f>
        <v>88.571852272727284</v>
      </c>
      <c r="BD121" s="199">
        <v>0.6</v>
      </c>
      <c r="BE121" s="200">
        <f>BD121*BF122</f>
        <v>0.54</v>
      </c>
    </row>
    <row r="122" spans="2:60" ht="14.4" thickBot="1" x14ac:dyDescent="0.35">
      <c r="B122" s="309"/>
      <c r="C122" s="319"/>
      <c r="D122" s="325"/>
      <c r="E122" s="94" t="str">
        <f>E109</f>
        <v>nein</v>
      </c>
      <c r="F122" s="95" t="str">
        <f>F119</f>
        <v>Graminizid</v>
      </c>
      <c r="G122" s="96">
        <v>1</v>
      </c>
      <c r="H122" s="97">
        <v>25</v>
      </c>
      <c r="I122" s="98">
        <f>IF(G122=0,0,G122*H122+$H$5+$H$6)</f>
        <v>40.318499999999993</v>
      </c>
      <c r="J122" s="99"/>
      <c r="K122" s="98">
        <f t="shared" si="233"/>
        <v>0</v>
      </c>
      <c r="L122" s="101"/>
      <c r="M122" s="98">
        <f t="shared" si="234"/>
        <v>0</v>
      </c>
      <c r="N122" s="99">
        <v>1</v>
      </c>
      <c r="O122" s="98">
        <f t="shared" si="235"/>
        <v>46.151818181818179</v>
      </c>
      <c r="P122" s="101">
        <v>2.5</v>
      </c>
      <c r="Q122" s="98">
        <f t="shared" si="236"/>
        <v>115.37954545454545</v>
      </c>
      <c r="R122" s="99">
        <v>1</v>
      </c>
      <c r="S122" s="98">
        <f t="shared" si="237"/>
        <v>44.63739130434783</v>
      </c>
      <c r="T122" s="101">
        <v>1.5</v>
      </c>
      <c r="U122" s="98">
        <f t="shared" si="238"/>
        <v>66.956086956521744</v>
      </c>
      <c r="V122" s="99"/>
      <c r="W122" s="98">
        <f t="shared" si="239"/>
        <v>0</v>
      </c>
      <c r="X122" s="101"/>
      <c r="Y122" s="98">
        <f t="shared" si="240"/>
        <v>0</v>
      </c>
      <c r="Z122" s="99"/>
      <c r="AA122" s="98">
        <f t="shared" si="241"/>
        <v>0</v>
      </c>
      <c r="AB122" s="101"/>
      <c r="AC122" s="98">
        <f t="shared" si="242"/>
        <v>0</v>
      </c>
      <c r="AD122" s="99"/>
      <c r="AE122" s="98">
        <f t="shared" si="243"/>
        <v>0</v>
      </c>
      <c r="AF122" s="101"/>
      <c r="AG122" s="98">
        <f t="shared" si="244"/>
        <v>0</v>
      </c>
      <c r="AH122" s="99"/>
      <c r="AI122" s="98">
        <f t="shared" si="245"/>
        <v>0</v>
      </c>
      <c r="AJ122" s="101"/>
      <c r="AK122" s="98">
        <f t="shared" si="246"/>
        <v>0</v>
      </c>
      <c r="AL122" s="99"/>
      <c r="AM122" s="98">
        <f t="shared" si="247"/>
        <v>0</v>
      </c>
      <c r="AN122" s="101"/>
      <c r="AO122" s="98">
        <f t="shared" si="248"/>
        <v>0</v>
      </c>
      <c r="AP122" s="99"/>
      <c r="AQ122" s="98">
        <f t="shared" si="249"/>
        <v>0</v>
      </c>
      <c r="AR122" s="101"/>
      <c r="AS122" s="98">
        <f t="shared" si="250"/>
        <v>0</v>
      </c>
      <c r="AT122" s="102">
        <f>AT121</f>
        <v>0</v>
      </c>
      <c r="AU122" s="103">
        <f t="shared" ref="AU122" si="255">AT122*0.9</f>
        <v>0</v>
      </c>
      <c r="AV122" s="104">
        <f>AV121</f>
        <v>0</v>
      </c>
      <c r="AW122" s="98">
        <f>AV122*(AT122-AU122)</f>
        <v>0</v>
      </c>
      <c r="AX122" s="105">
        <f>AX121</f>
        <v>0</v>
      </c>
      <c r="AY122" s="106">
        <f>AV122-AX122</f>
        <v>0</v>
      </c>
      <c r="AZ122" s="98">
        <f t="shared" ref="AZ122" si="256">(AV122-AY122)*AU122</f>
        <v>0</v>
      </c>
      <c r="BA122" s="98">
        <f>IF(SUM(AO122+AD122+Z122+V122+R122+N122+J122)=0,0,K122+O122+S122+W122+AA122+AE122+AH122+AL122+AP122+AX122)</f>
        <v>90.789209486166015</v>
      </c>
      <c r="BB122" s="98">
        <f>IF(SUM(AR122+AF122+AB122+X122+T122+P122+L122)=0,0,I122+M122+Q122+U122+Y122+AC122+AG122+AK122+AO122+AS122+AW122+AZ122-$H$8)</f>
        <v>177.88875741106719</v>
      </c>
      <c r="BC122" s="107">
        <f>IF(BB122-BA122&gt;0,BB122-BA122,0)</f>
        <v>87.099547924901174</v>
      </c>
      <c r="BD122" s="183">
        <v>0.4</v>
      </c>
      <c r="BE122" s="109">
        <f>BF122-BE121</f>
        <v>0.36</v>
      </c>
      <c r="BF122" s="167">
        <f>1-BF120-BF118</f>
        <v>0.9</v>
      </c>
    </row>
    <row r="123" spans="2:60" ht="13.8" x14ac:dyDescent="0.3">
      <c r="B123" s="309"/>
      <c r="C123" s="319"/>
      <c r="D123" s="326" t="s">
        <v>64</v>
      </c>
      <c r="E123" s="77" t="s">
        <v>57</v>
      </c>
      <c r="F123" s="141"/>
      <c r="G123" s="142"/>
      <c r="H123" s="143"/>
      <c r="I123" s="144"/>
      <c r="J123" s="145"/>
      <c r="K123" s="144"/>
      <c r="L123" s="146"/>
      <c r="M123" s="144"/>
      <c r="N123" s="145"/>
      <c r="O123" s="144"/>
      <c r="P123" s="146"/>
      <c r="Q123" s="144"/>
      <c r="R123" s="145"/>
      <c r="S123" s="144"/>
      <c r="T123" s="146"/>
      <c r="U123" s="144"/>
      <c r="V123" s="145"/>
      <c r="W123" s="144"/>
      <c r="X123" s="146"/>
      <c r="Y123" s="144"/>
      <c r="Z123" s="145"/>
      <c r="AA123" s="144"/>
      <c r="AB123" s="146"/>
      <c r="AC123" s="144"/>
      <c r="AD123" s="145"/>
      <c r="AE123" s="144"/>
      <c r="AF123" s="146"/>
      <c r="AG123" s="144"/>
      <c r="AH123" s="145"/>
      <c r="AI123" s="144"/>
      <c r="AJ123" s="146"/>
      <c r="AK123" s="144"/>
      <c r="AL123" s="145"/>
      <c r="AM123" s="144"/>
      <c r="AN123" s="146"/>
      <c r="AO123" s="144"/>
      <c r="AP123" s="145"/>
      <c r="AQ123" s="144"/>
      <c r="AR123" s="146"/>
      <c r="AS123" s="144"/>
      <c r="AT123" s="147"/>
      <c r="AU123" s="147"/>
      <c r="AV123" s="148"/>
      <c r="AW123" s="144"/>
      <c r="AX123" s="148"/>
      <c r="AY123" s="148"/>
      <c r="AZ123" s="144"/>
      <c r="BA123" s="144"/>
      <c r="BB123" s="144"/>
      <c r="BC123" s="164">
        <f>(BC117*BE117+BC119*BE119+BC121*BE121)/(BE117+BE119+BE121)</f>
        <v>88.496130928853759</v>
      </c>
      <c r="BD123" s="150"/>
      <c r="BE123" s="92">
        <f>BE117+BE119+BE121</f>
        <v>0.60000000000000009</v>
      </c>
    </row>
    <row r="124" spans="2:60" ht="14.4" thickBot="1" x14ac:dyDescent="0.35">
      <c r="B124" s="309"/>
      <c r="C124" s="319"/>
      <c r="D124" s="327"/>
      <c r="E124" s="126" t="s">
        <v>59</v>
      </c>
      <c r="F124" s="231"/>
      <c r="G124" s="152"/>
      <c r="H124" s="153"/>
      <c r="I124" s="74"/>
      <c r="J124" s="154"/>
      <c r="K124" s="74"/>
      <c r="L124" s="155"/>
      <c r="M124" s="74"/>
      <c r="N124" s="154"/>
      <c r="O124" s="74"/>
      <c r="P124" s="155"/>
      <c r="Q124" s="74"/>
      <c r="R124" s="154"/>
      <c r="S124" s="74"/>
      <c r="T124" s="155"/>
      <c r="U124" s="74"/>
      <c r="V124" s="154"/>
      <c r="W124" s="74"/>
      <c r="X124" s="155"/>
      <c r="Y124" s="74"/>
      <c r="Z124" s="154"/>
      <c r="AA124" s="74"/>
      <c r="AB124" s="155"/>
      <c r="AC124" s="74"/>
      <c r="AD124" s="154"/>
      <c r="AE124" s="74"/>
      <c r="AF124" s="155"/>
      <c r="AG124" s="74"/>
      <c r="AH124" s="154"/>
      <c r="AI124" s="74"/>
      <c r="AJ124" s="155"/>
      <c r="AK124" s="74"/>
      <c r="AL124" s="154"/>
      <c r="AM124" s="74"/>
      <c r="AN124" s="155"/>
      <c r="AO124" s="74"/>
      <c r="AP124" s="154"/>
      <c r="AQ124" s="74"/>
      <c r="AR124" s="155"/>
      <c r="AS124" s="74"/>
      <c r="AT124" s="156"/>
      <c r="AU124" s="156"/>
      <c r="AV124" s="157"/>
      <c r="AW124" s="74"/>
      <c r="AX124" s="157"/>
      <c r="AY124" s="157"/>
      <c r="AZ124" s="74"/>
      <c r="BA124" s="74"/>
      <c r="BB124" s="74"/>
      <c r="BC124" s="169">
        <f>(BC118*BE118+BC120*BE120+BC122*BE122)/(BE118+BE120+BE122)</f>
        <v>87.023826581027649</v>
      </c>
      <c r="BD124" s="158"/>
      <c r="BE124" s="140">
        <f>BE118+BE120+BE122</f>
        <v>0.4</v>
      </c>
    </row>
    <row r="125" spans="2:60" ht="16.2" thickBot="1" x14ac:dyDescent="0.35">
      <c r="B125" s="173" t="s">
        <v>72</v>
      </c>
      <c r="C125" s="239"/>
      <c r="D125" s="240"/>
      <c r="E125" s="175"/>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7">
        <f>(BC123*BE123+BC124*BE124)/(BE123+BE124)</f>
        <v>87.907209189723318</v>
      </c>
      <c r="BD125" s="211"/>
      <c r="BE125" s="212"/>
    </row>
    <row r="126" spans="2:60" ht="13.8" x14ac:dyDescent="0.3">
      <c r="B126" s="308" t="s">
        <v>63</v>
      </c>
      <c r="C126" s="310" t="s">
        <v>57</v>
      </c>
      <c r="D126" s="313" t="s">
        <v>56</v>
      </c>
      <c r="E126" s="77" t="str">
        <f>E117</f>
        <v>ja</v>
      </c>
      <c r="F126" s="78"/>
      <c r="G126" s="79">
        <v>0</v>
      </c>
      <c r="H126" s="80">
        <v>0</v>
      </c>
      <c r="I126" s="90">
        <f t="shared" ref="I126:I133" si="257">IF(G126=0,0,G126*H126+$H$5+$H$6)</f>
        <v>0</v>
      </c>
      <c r="J126" s="82">
        <v>0.1</v>
      </c>
      <c r="K126" s="90">
        <f t="shared" ref="K126:K133" si="258">J126*(J$10*$C$6+L$10)</f>
        <v>12.097000000000001</v>
      </c>
      <c r="L126" s="84">
        <v>0.3</v>
      </c>
      <c r="M126" s="90">
        <f t="shared" ref="M126:M133" si="259">L126*(J$10*$C$6+L$10)</f>
        <v>36.290999999999997</v>
      </c>
      <c r="N126" s="82">
        <v>0.9</v>
      </c>
      <c r="O126" s="90">
        <f t="shared" ref="O126:O133" si="260">N126*(N$10*$C$6+P$10)</f>
        <v>41.536636363636362</v>
      </c>
      <c r="P126" s="84">
        <v>2</v>
      </c>
      <c r="Q126" s="90">
        <f t="shared" ref="Q126:Q133" si="261">P126*(N$10*$C$6+P$10)</f>
        <v>92.303636363636357</v>
      </c>
      <c r="R126" s="82">
        <v>0.5</v>
      </c>
      <c r="S126" s="90">
        <f t="shared" ref="S126:S133" si="262">R126*(R$10*$C$6+T$10)</f>
        <v>22.318695652173915</v>
      </c>
      <c r="T126" s="84">
        <v>1.5</v>
      </c>
      <c r="U126" s="90">
        <f t="shared" ref="U126:U133" si="263">T126*(R$10*$C$6+T$10)</f>
        <v>66.956086956521744</v>
      </c>
      <c r="V126" s="82"/>
      <c r="W126" s="90">
        <f t="shared" ref="W126:W133" si="264">V126*(V$10*$C$6+X$10)</f>
        <v>0</v>
      </c>
      <c r="X126" s="84"/>
      <c r="Y126" s="90">
        <f t="shared" ref="Y126:Y133" si="265">X126*(V$10*$C$6+X$10)</f>
        <v>0</v>
      </c>
      <c r="Z126" s="82">
        <v>0.3</v>
      </c>
      <c r="AA126" s="90">
        <f t="shared" ref="AA126:AA133" si="266">Z126*(Z$10*$C$6+AB$10)</f>
        <v>14.022142857142855</v>
      </c>
      <c r="AB126" s="84">
        <v>1</v>
      </c>
      <c r="AC126" s="90">
        <f t="shared" ref="AC126:AC133" si="267">AB126*(Z$10*$C$6+AB$10)</f>
        <v>46.740476190476187</v>
      </c>
      <c r="AD126" s="82"/>
      <c r="AE126" s="90">
        <f t="shared" ref="AE126:AE133" si="268">AD126*(AD$10*$C$6+AF$10)</f>
        <v>0</v>
      </c>
      <c r="AF126" s="84">
        <v>0.5</v>
      </c>
      <c r="AG126" s="90">
        <f t="shared" ref="AG126:AG133" si="269">AF126*(AD$10*$C$6+AF$10)</f>
        <v>22.16403846153846</v>
      </c>
      <c r="AH126" s="82"/>
      <c r="AI126" s="90">
        <f t="shared" ref="AI126:AI133" si="270">AH126*(AH$10*$C$6+AJ$10)</f>
        <v>0</v>
      </c>
      <c r="AJ126" s="84"/>
      <c r="AK126" s="90">
        <f t="shared" ref="AK126:AK133" si="271">AJ126*(AH$10*$C$6+AJ$10)</f>
        <v>0</v>
      </c>
      <c r="AL126" s="82"/>
      <c r="AM126" s="90">
        <f t="shared" ref="AM126:AM133" si="272">AL126*(AL$10*$C$6+AN$10)</f>
        <v>0</v>
      </c>
      <c r="AN126" s="84"/>
      <c r="AO126" s="90">
        <f t="shared" ref="AO126:AO133" si="273">AN126*(AL$10*$C$6+AN$10)</f>
        <v>0</v>
      </c>
      <c r="AP126" s="82"/>
      <c r="AQ126" s="90">
        <f t="shared" ref="AQ126:AQ133" si="274">AP126*(AP$10*$C$6+AR$10)</f>
        <v>0</v>
      </c>
      <c r="AR126" s="84"/>
      <c r="AS126" s="90">
        <f t="shared" ref="AS126:AS133" si="275">AR126*(AP$10*$C$6+AR$10)</f>
        <v>0</v>
      </c>
      <c r="AT126" s="85">
        <v>0</v>
      </c>
      <c r="AU126" s="86">
        <f>AT126*0.9</f>
        <v>0</v>
      </c>
      <c r="AV126" s="87">
        <v>0</v>
      </c>
      <c r="AW126" s="90">
        <f t="shared" ref="AW126:AW133" si="276">AV126*(AT126-AU126)</f>
        <v>0</v>
      </c>
      <c r="AX126" s="88">
        <v>0</v>
      </c>
      <c r="AY126" s="89">
        <f>AV126-AX126</f>
        <v>0</v>
      </c>
      <c r="AZ126" s="90">
        <f>(AV126-AY126)*AU126</f>
        <v>0</v>
      </c>
      <c r="BA126" s="90">
        <f t="shared" ref="BA126:BA133" si="277">IF(SUM(AO126+AD126+Z126+V126+R126+N126+J126)=0,0,K126+O126+S126+W126+AA126+AE126+AH126+AL126+AP126+AX126)</f>
        <v>89.974474872953124</v>
      </c>
      <c r="BB126" s="90">
        <f t="shared" ref="BB126:BB133" si="278">IF(SUM(AR126+AF126+AB126+X126+T126+P126+L126)=0,0,I126+M126+Q126+U126+Y126+AC126+AG126+AK126+AO126+AS126+AW126+AZ126-$H$8)</f>
        <v>219.68986297217276</v>
      </c>
      <c r="BC126" s="164">
        <f t="shared" ref="BC126:BC133" si="279">IF(BB126-BA126&gt;0,BB126-BA126,0)</f>
        <v>129.71538809921964</v>
      </c>
      <c r="BD126" s="181">
        <v>0.5</v>
      </c>
      <c r="BE126" s="92">
        <f>0.4*BD126*BF138</f>
        <v>2.0000000000000004E-2</v>
      </c>
    </row>
    <row r="127" spans="2:60" ht="13.8" x14ac:dyDescent="0.3">
      <c r="B127" s="309"/>
      <c r="C127" s="311"/>
      <c r="D127" s="314"/>
      <c r="E127" s="94" t="str">
        <f>E118</f>
        <v>nein</v>
      </c>
      <c r="F127" s="95"/>
      <c r="G127" s="96">
        <v>0</v>
      </c>
      <c r="H127" s="97">
        <v>0</v>
      </c>
      <c r="I127" s="107">
        <f t="shared" si="257"/>
        <v>0</v>
      </c>
      <c r="J127" s="99">
        <v>0</v>
      </c>
      <c r="K127" s="107">
        <f t="shared" si="258"/>
        <v>0</v>
      </c>
      <c r="L127" s="101"/>
      <c r="M127" s="107">
        <f t="shared" si="259"/>
        <v>0</v>
      </c>
      <c r="N127" s="99">
        <v>1</v>
      </c>
      <c r="O127" s="107">
        <f t="shared" si="260"/>
        <v>46.151818181818179</v>
      </c>
      <c r="P127" s="101">
        <v>2</v>
      </c>
      <c r="Q127" s="107">
        <f t="shared" si="261"/>
        <v>92.303636363636357</v>
      </c>
      <c r="R127" s="99">
        <v>1</v>
      </c>
      <c r="S127" s="107">
        <f t="shared" si="262"/>
        <v>44.63739130434783</v>
      </c>
      <c r="T127" s="101">
        <v>1.5</v>
      </c>
      <c r="U127" s="107">
        <f t="shared" si="263"/>
        <v>66.956086956521744</v>
      </c>
      <c r="V127" s="99"/>
      <c r="W127" s="107">
        <f t="shared" si="264"/>
        <v>0</v>
      </c>
      <c r="X127" s="101"/>
      <c r="Y127" s="107">
        <f t="shared" si="265"/>
        <v>0</v>
      </c>
      <c r="Z127" s="99">
        <v>0.5</v>
      </c>
      <c r="AA127" s="107">
        <f t="shared" si="266"/>
        <v>23.370238095238093</v>
      </c>
      <c r="AB127" s="101">
        <v>1</v>
      </c>
      <c r="AC127" s="107">
        <f t="shared" si="267"/>
        <v>46.740476190476187</v>
      </c>
      <c r="AD127" s="99"/>
      <c r="AE127" s="107">
        <f t="shared" si="268"/>
        <v>0</v>
      </c>
      <c r="AF127" s="101">
        <v>1</v>
      </c>
      <c r="AG127" s="107">
        <f t="shared" si="269"/>
        <v>44.328076923076921</v>
      </c>
      <c r="AH127" s="99"/>
      <c r="AI127" s="107">
        <f t="shared" si="270"/>
        <v>0</v>
      </c>
      <c r="AJ127" s="101"/>
      <c r="AK127" s="107">
        <f t="shared" si="271"/>
        <v>0</v>
      </c>
      <c r="AL127" s="99"/>
      <c r="AM127" s="107">
        <f t="shared" si="272"/>
        <v>0</v>
      </c>
      <c r="AN127" s="101"/>
      <c r="AO127" s="107">
        <f t="shared" si="273"/>
        <v>0</v>
      </c>
      <c r="AP127" s="99"/>
      <c r="AQ127" s="107">
        <f t="shared" si="274"/>
        <v>0</v>
      </c>
      <c r="AR127" s="101"/>
      <c r="AS127" s="107">
        <f t="shared" si="275"/>
        <v>0</v>
      </c>
      <c r="AT127" s="102">
        <f>AT126</f>
        <v>0</v>
      </c>
      <c r="AU127" s="103">
        <f>AT127*0.9</f>
        <v>0</v>
      </c>
      <c r="AV127" s="104">
        <f>AV126</f>
        <v>0</v>
      </c>
      <c r="AW127" s="107">
        <f t="shared" si="276"/>
        <v>0</v>
      </c>
      <c r="AX127" s="105">
        <f>AX126</f>
        <v>0</v>
      </c>
      <c r="AY127" s="106">
        <f>AV127-AX127</f>
        <v>0</v>
      </c>
      <c r="AZ127" s="107">
        <f>(AV127-AY127)*AU127</f>
        <v>0</v>
      </c>
      <c r="BA127" s="107">
        <f t="shared" si="277"/>
        <v>114.15944758140411</v>
      </c>
      <c r="BB127" s="107">
        <f t="shared" si="278"/>
        <v>205.5629014337112</v>
      </c>
      <c r="BC127" s="107">
        <f t="shared" si="279"/>
        <v>91.403453852307095</v>
      </c>
      <c r="BD127" s="183">
        <v>0.5</v>
      </c>
      <c r="BE127" s="109">
        <f>0.4*BD127*BF138</f>
        <v>2.0000000000000004E-2</v>
      </c>
    </row>
    <row r="128" spans="2:60" ht="13.8" x14ac:dyDescent="0.3">
      <c r="B128" s="309"/>
      <c r="C128" s="311"/>
      <c r="D128" s="315" t="s">
        <v>58</v>
      </c>
      <c r="E128" s="187" t="str">
        <f>E104</f>
        <v>ja</v>
      </c>
      <c r="F128" s="188"/>
      <c r="G128" s="189">
        <v>0</v>
      </c>
      <c r="H128" s="190">
        <v>0</v>
      </c>
      <c r="I128" s="191">
        <f t="shared" si="257"/>
        <v>0</v>
      </c>
      <c r="J128" s="192">
        <v>0.8</v>
      </c>
      <c r="K128" s="191">
        <f t="shared" si="258"/>
        <v>96.77600000000001</v>
      </c>
      <c r="L128" s="201">
        <v>1</v>
      </c>
      <c r="M128" s="191">
        <f t="shared" si="259"/>
        <v>120.97</v>
      </c>
      <c r="N128" s="192">
        <v>0.5</v>
      </c>
      <c r="O128" s="191">
        <f t="shared" si="260"/>
        <v>23.075909090909089</v>
      </c>
      <c r="P128" s="201">
        <v>2</v>
      </c>
      <c r="Q128" s="191">
        <f t="shared" si="261"/>
        <v>92.303636363636357</v>
      </c>
      <c r="R128" s="192">
        <v>1</v>
      </c>
      <c r="S128" s="191">
        <f t="shared" si="262"/>
        <v>44.63739130434783</v>
      </c>
      <c r="T128" s="201">
        <v>1.5</v>
      </c>
      <c r="U128" s="191">
        <f t="shared" si="263"/>
        <v>66.956086956521744</v>
      </c>
      <c r="V128" s="192"/>
      <c r="W128" s="191">
        <f t="shared" si="264"/>
        <v>0</v>
      </c>
      <c r="X128" s="201"/>
      <c r="Y128" s="191">
        <f t="shared" si="265"/>
        <v>0</v>
      </c>
      <c r="Z128" s="192">
        <v>1.3</v>
      </c>
      <c r="AA128" s="191">
        <f t="shared" si="266"/>
        <v>60.762619047619047</v>
      </c>
      <c r="AB128" s="201">
        <v>2</v>
      </c>
      <c r="AC128" s="191">
        <f t="shared" si="267"/>
        <v>93.480952380952374</v>
      </c>
      <c r="AD128" s="192"/>
      <c r="AE128" s="191">
        <f t="shared" si="268"/>
        <v>0</v>
      </c>
      <c r="AF128" s="201">
        <v>0.5</v>
      </c>
      <c r="AG128" s="191">
        <f t="shared" si="269"/>
        <v>22.16403846153846</v>
      </c>
      <c r="AH128" s="192"/>
      <c r="AI128" s="191">
        <f t="shared" si="270"/>
        <v>0</v>
      </c>
      <c r="AJ128" s="201"/>
      <c r="AK128" s="191">
        <f t="shared" si="271"/>
        <v>0</v>
      </c>
      <c r="AL128" s="192"/>
      <c r="AM128" s="191">
        <f t="shared" si="272"/>
        <v>0</v>
      </c>
      <c r="AN128" s="201"/>
      <c r="AO128" s="191">
        <f t="shared" si="273"/>
        <v>0</v>
      </c>
      <c r="AP128" s="192"/>
      <c r="AQ128" s="191">
        <f t="shared" si="274"/>
        <v>0</v>
      </c>
      <c r="AR128" s="201"/>
      <c r="AS128" s="191">
        <f t="shared" si="275"/>
        <v>0</v>
      </c>
      <c r="AT128" s="195">
        <f>AT126</f>
        <v>0</v>
      </c>
      <c r="AU128" s="195">
        <f>AT128*0.9</f>
        <v>0</v>
      </c>
      <c r="AV128" s="196">
        <f>AV126</f>
        <v>0</v>
      </c>
      <c r="AW128" s="191">
        <f t="shared" si="276"/>
        <v>0</v>
      </c>
      <c r="AX128" s="197">
        <v>0</v>
      </c>
      <c r="AY128" s="198">
        <f>AV$126+AV128-AY$126</f>
        <v>0</v>
      </c>
      <c r="AZ128" s="191">
        <f>(AV128-AY128)*AU128</f>
        <v>0</v>
      </c>
      <c r="BA128" s="191">
        <f t="shared" si="277"/>
        <v>225.25191944287596</v>
      </c>
      <c r="BB128" s="191">
        <f t="shared" si="278"/>
        <v>351.10933916264889</v>
      </c>
      <c r="BC128" s="166">
        <f t="shared" si="279"/>
        <v>125.85741971977293</v>
      </c>
      <c r="BD128" s="199">
        <v>0.5</v>
      </c>
      <c r="BE128" s="200">
        <f>0.4*BD128*BF140</f>
        <v>0</v>
      </c>
    </row>
    <row r="129" spans="2:60" ht="13.8" x14ac:dyDescent="0.3">
      <c r="B129" s="309"/>
      <c r="C129" s="311"/>
      <c r="D129" s="314"/>
      <c r="E129" s="94" t="str">
        <f>E105</f>
        <v>nein</v>
      </c>
      <c r="F129" s="95"/>
      <c r="G129" s="96">
        <v>0</v>
      </c>
      <c r="H129" s="97">
        <v>0</v>
      </c>
      <c r="I129" s="98">
        <f t="shared" si="257"/>
        <v>0</v>
      </c>
      <c r="J129" s="99"/>
      <c r="K129" s="98">
        <f t="shared" si="258"/>
        <v>0</v>
      </c>
      <c r="L129" s="101"/>
      <c r="M129" s="98">
        <f t="shared" si="259"/>
        <v>0</v>
      </c>
      <c r="N129" s="99">
        <v>1</v>
      </c>
      <c r="O129" s="98">
        <f t="shared" si="260"/>
        <v>46.151818181818179</v>
      </c>
      <c r="P129" s="101">
        <v>2.5</v>
      </c>
      <c r="Q129" s="98">
        <f t="shared" si="261"/>
        <v>115.37954545454545</v>
      </c>
      <c r="R129" s="99">
        <v>1.5</v>
      </c>
      <c r="S129" s="98">
        <f t="shared" si="262"/>
        <v>66.956086956521744</v>
      </c>
      <c r="T129" s="101">
        <v>1.5</v>
      </c>
      <c r="U129" s="98">
        <f t="shared" si="263"/>
        <v>66.956086956521744</v>
      </c>
      <c r="V129" s="99"/>
      <c r="W129" s="98">
        <f t="shared" si="264"/>
        <v>0</v>
      </c>
      <c r="X129" s="101"/>
      <c r="Y129" s="98">
        <f t="shared" si="265"/>
        <v>0</v>
      </c>
      <c r="Z129" s="99">
        <v>1.5</v>
      </c>
      <c r="AA129" s="98">
        <f t="shared" si="266"/>
        <v>70.11071428571428</v>
      </c>
      <c r="AB129" s="101">
        <v>2</v>
      </c>
      <c r="AC129" s="98">
        <f t="shared" si="267"/>
        <v>93.480952380952374</v>
      </c>
      <c r="AD129" s="99"/>
      <c r="AE129" s="98">
        <f t="shared" si="268"/>
        <v>0</v>
      </c>
      <c r="AF129" s="101">
        <v>1</v>
      </c>
      <c r="AG129" s="98">
        <f t="shared" si="269"/>
        <v>44.328076923076921</v>
      </c>
      <c r="AH129" s="99"/>
      <c r="AI129" s="98">
        <f t="shared" si="270"/>
        <v>0</v>
      </c>
      <c r="AJ129" s="101"/>
      <c r="AK129" s="98">
        <f t="shared" si="271"/>
        <v>0</v>
      </c>
      <c r="AL129" s="99"/>
      <c r="AM129" s="98">
        <f t="shared" si="272"/>
        <v>0</v>
      </c>
      <c r="AN129" s="101"/>
      <c r="AO129" s="98">
        <f t="shared" si="273"/>
        <v>0</v>
      </c>
      <c r="AP129" s="99"/>
      <c r="AQ129" s="98">
        <f t="shared" si="274"/>
        <v>0</v>
      </c>
      <c r="AR129" s="101"/>
      <c r="AS129" s="98">
        <f t="shared" si="275"/>
        <v>0</v>
      </c>
      <c r="AT129" s="102">
        <f>AT127</f>
        <v>0</v>
      </c>
      <c r="AU129" s="103">
        <f>AT129*0.9</f>
        <v>0</v>
      </c>
      <c r="AV129" s="104">
        <f>AV127</f>
        <v>0</v>
      </c>
      <c r="AW129" s="98">
        <f t="shared" si="276"/>
        <v>0</v>
      </c>
      <c r="AX129" s="105">
        <v>1</v>
      </c>
      <c r="AY129" s="106">
        <f>AV$126+AV129-AY$126</f>
        <v>0</v>
      </c>
      <c r="AZ129" s="98">
        <f>(AV129-AY129)*AU129</f>
        <v>0</v>
      </c>
      <c r="BA129" s="98">
        <f t="shared" si="277"/>
        <v>184.21861942405422</v>
      </c>
      <c r="BB129" s="98">
        <f t="shared" si="278"/>
        <v>275.3792867150965</v>
      </c>
      <c r="BC129" s="107">
        <f t="shared" si="279"/>
        <v>91.160667291042273</v>
      </c>
      <c r="BD129" s="183">
        <v>0.5</v>
      </c>
      <c r="BE129" s="109">
        <f>0.4*BD129*BF140</f>
        <v>0</v>
      </c>
    </row>
    <row r="130" spans="2:60" ht="13.8" x14ac:dyDescent="0.3">
      <c r="B130" s="309"/>
      <c r="C130" s="311"/>
      <c r="D130" s="296" t="s">
        <v>60</v>
      </c>
      <c r="E130" s="187" t="str">
        <f>E119</f>
        <v>ja</v>
      </c>
      <c r="F130" s="188" t="str">
        <f>F119</f>
        <v>Graminizid</v>
      </c>
      <c r="G130" s="202">
        <v>0.5</v>
      </c>
      <c r="H130" s="242">
        <v>25</v>
      </c>
      <c r="I130" s="243">
        <f t="shared" si="257"/>
        <v>27.8185</v>
      </c>
      <c r="J130" s="192">
        <v>0.4</v>
      </c>
      <c r="K130" s="243">
        <f t="shared" si="258"/>
        <v>48.388000000000005</v>
      </c>
      <c r="L130" s="201">
        <v>0.8</v>
      </c>
      <c r="M130" s="243">
        <f>L130*(J$10*$C$6+L$10)</f>
        <v>96.77600000000001</v>
      </c>
      <c r="N130" s="192">
        <v>1</v>
      </c>
      <c r="O130" s="243">
        <f t="shared" si="260"/>
        <v>46.151818181818179</v>
      </c>
      <c r="P130" s="201">
        <v>2.5</v>
      </c>
      <c r="Q130" s="243">
        <f t="shared" si="261"/>
        <v>115.37954545454545</v>
      </c>
      <c r="R130" s="192">
        <v>1</v>
      </c>
      <c r="S130" s="243">
        <f t="shared" si="262"/>
        <v>44.63739130434783</v>
      </c>
      <c r="T130" s="201">
        <v>2</v>
      </c>
      <c r="U130" s="243">
        <f t="shared" si="263"/>
        <v>89.274782608695659</v>
      </c>
      <c r="V130" s="192"/>
      <c r="W130" s="243">
        <f t="shared" si="264"/>
        <v>0</v>
      </c>
      <c r="X130" s="201"/>
      <c r="Y130" s="243">
        <f t="shared" si="265"/>
        <v>0</v>
      </c>
      <c r="Z130" s="192">
        <v>0.3</v>
      </c>
      <c r="AA130" s="243">
        <f t="shared" si="266"/>
        <v>14.022142857142855</v>
      </c>
      <c r="AB130" s="201">
        <v>1</v>
      </c>
      <c r="AC130" s="243">
        <f t="shared" si="267"/>
        <v>46.740476190476187</v>
      </c>
      <c r="AD130" s="192"/>
      <c r="AE130" s="243">
        <f t="shared" si="268"/>
        <v>0</v>
      </c>
      <c r="AF130" s="201">
        <v>0.5</v>
      </c>
      <c r="AG130" s="243">
        <f t="shared" si="269"/>
        <v>22.16403846153846</v>
      </c>
      <c r="AH130" s="192"/>
      <c r="AI130" s="243">
        <f t="shared" si="270"/>
        <v>0</v>
      </c>
      <c r="AJ130" s="201"/>
      <c r="AK130" s="243">
        <f t="shared" si="271"/>
        <v>0</v>
      </c>
      <c r="AL130" s="192"/>
      <c r="AM130" s="243">
        <f t="shared" si="272"/>
        <v>0</v>
      </c>
      <c r="AN130" s="201"/>
      <c r="AO130" s="243">
        <f t="shared" si="273"/>
        <v>0</v>
      </c>
      <c r="AP130" s="192"/>
      <c r="AQ130" s="243">
        <f t="shared" si="274"/>
        <v>0</v>
      </c>
      <c r="AR130" s="201"/>
      <c r="AS130" s="243">
        <f t="shared" si="275"/>
        <v>0</v>
      </c>
      <c r="AT130" s="194">
        <v>0</v>
      </c>
      <c r="AU130" s="195">
        <f>AT130*0.9</f>
        <v>0</v>
      </c>
      <c r="AV130" s="196">
        <f>AV128</f>
        <v>0</v>
      </c>
      <c r="AW130" s="243">
        <f t="shared" si="276"/>
        <v>0</v>
      </c>
      <c r="AX130" s="197">
        <v>0</v>
      </c>
      <c r="AY130" s="198">
        <f>AV130-AX130</f>
        <v>0</v>
      </c>
      <c r="AZ130" s="243">
        <f>(AV130-AY130)*AU130</f>
        <v>0</v>
      </c>
      <c r="BA130" s="243">
        <f t="shared" si="277"/>
        <v>153.19935234330887</v>
      </c>
      <c r="BB130" s="243">
        <f t="shared" si="278"/>
        <v>353.3879677152558</v>
      </c>
      <c r="BC130" s="166">
        <f t="shared" si="279"/>
        <v>200.18861537194692</v>
      </c>
      <c r="BD130" s="199">
        <v>0.3</v>
      </c>
      <c r="BE130" s="200">
        <f>0.66667*BD130*BF142</f>
        <v>4.00002E-2</v>
      </c>
      <c r="BH130" s="213"/>
    </row>
    <row r="131" spans="2:60" ht="13.8" x14ac:dyDescent="0.3">
      <c r="B131" s="309"/>
      <c r="C131" s="311"/>
      <c r="D131" s="297"/>
      <c r="E131" s="94" t="str">
        <f>E120</f>
        <v>nein</v>
      </c>
      <c r="F131" s="95" t="str">
        <f>F130</f>
        <v>Graminizid</v>
      </c>
      <c r="G131" s="96">
        <v>1</v>
      </c>
      <c r="H131" s="97">
        <v>25</v>
      </c>
      <c r="I131" s="107">
        <f t="shared" si="257"/>
        <v>40.318499999999993</v>
      </c>
      <c r="J131" s="99"/>
      <c r="K131" s="107">
        <f t="shared" si="258"/>
        <v>0</v>
      </c>
      <c r="L131" s="101"/>
      <c r="M131" s="107">
        <f t="shared" si="259"/>
        <v>0</v>
      </c>
      <c r="N131" s="99">
        <v>1</v>
      </c>
      <c r="O131" s="107">
        <f t="shared" si="260"/>
        <v>46.151818181818179</v>
      </c>
      <c r="P131" s="101">
        <v>2.5</v>
      </c>
      <c r="Q131" s="107">
        <f t="shared" si="261"/>
        <v>115.37954545454545</v>
      </c>
      <c r="R131" s="99">
        <v>1</v>
      </c>
      <c r="S131" s="107">
        <f t="shared" si="262"/>
        <v>44.63739130434783</v>
      </c>
      <c r="T131" s="101">
        <v>1.5</v>
      </c>
      <c r="U131" s="107">
        <f t="shared" si="263"/>
        <v>66.956086956521744</v>
      </c>
      <c r="V131" s="99"/>
      <c r="W131" s="107">
        <f t="shared" si="264"/>
        <v>0</v>
      </c>
      <c r="X131" s="101"/>
      <c r="Y131" s="107">
        <f t="shared" si="265"/>
        <v>0</v>
      </c>
      <c r="Z131" s="99">
        <v>0.5</v>
      </c>
      <c r="AA131" s="107">
        <f t="shared" si="266"/>
        <v>23.370238095238093</v>
      </c>
      <c r="AB131" s="101">
        <v>1</v>
      </c>
      <c r="AC131" s="107">
        <f t="shared" si="267"/>
        <v>46.740476190476187</v>
      </c>
      <c r="AD131" s="99"/>
      <c r="AE131" s="107">
        <f t="shared" si="268"/>
        <v>0</v>
      </c>
      <c r="AF131" s="101">
        <v>1</v>
      </c>
      <c r="AG131" s="107">
        <f t="shared" si="269"/>
        <v>44.328076923076921</v>
      </c>
      <c r="AH131" s="99"/>
      <c r="AI131" s="107">
        <f t="shared" si="270"/>
        <v>0</v>
      </c>
      <c r="AJ131" s="101"/>
      <c r="AK131" s="107">
        <f t="shared" si="271"/>
        <v>0</v>
      </c>
      <c r="AL131" s="99"/>
      <c r="AM131" s="107">
        <f t="shared" si="272"/>
        <v>0</v>
      </c>
      <c r="AN131" s="101"/>
      <c r="AO131" s="107">
        <f t="shared" si="273"/>
        <v>0</v>
      </c>
      <c r="AP131" s="99"/>
      <c r="AQ131" s="107">
        <f t="shared" si="274"/>
        <v>0</v>
      </c>
      <c r="AR131" s="101"/>
      <c r="AS131" s="107">
        <f t="shared" si="275"/>
        <v>0</v>
      </c>
      <c r="AT131" s="102">
        <f>AT130</f>
        <v>0</v>
      </c>
      <c r="AU131" s="103">
        <f t="shared" ref="AU131" si="280">AT131*0.9</f>
        <v>0</v>
      </c>
      <c r="AV131" s="104">
        <f>AV130</f>
        <v>0</v>
      </c>
      <c r="AW131" s="107">
        <f t="shared" si="276"/>
        <v>0</v>
      </c>
      <c r="AX131" s="105">
        <f>AX130</f>
        <v>0</v>
      </c>
      <c r="AY131" s="106">
        <f>AV131-AX131</f>
        <v>0</v>
      </c>
      <c r="AZ131" s="107">
        <f t="shared" ref="AZ131" si="281">(AV131-AY131)*AU131</f>
        <v>0</v>
      </c>
      <c r="BA131" s="107">
        <f t="shared" si="277"/>
        <v>114.15944758140411</v>
      </c>
      <c r="BB131" s="107">
        <f t="shared" si="278"/>
        <v>268.95731052462031</v>
      </c>
      <c r="BC131" s="107">
        <f t="shared" si="279"/>
        <v>154.79786294321622</v>
      </c>
      <c r="BD131" s="183">
        <v>0.7</v>
      </c>
      <c r="BE131" s="109">
        <f>0.66667*BD131*BF142</f>
        <v>9.3333799999999995E-2</v>
      </c>
    </row>
    <row r="132" spans="2:60" ht="13.8" x14ac:dyDescent="0.3">
      <c r="B132" s="309"/>
      <c r="C132" s="311"/>
      <c r="D132" s="298" t="s">
        <v>61</v>
      </c>
      <c r="E132" s="187" t="str">
        <f>E121</f>
        <v>ja</v>
      </c>
      <c r="F132" s="188" t="str">
        <f>F130</f>
        <v>Graminizid</v>
      </c>
      <c r="G132" s="202">
        <v>0.5</v>
      </c>
      <c r="H132" s="203">
        <v>25</v>
      </c>
      <c r="I132" s="191">
        <f t="shared" si="257"/>
        <v>27.8185</v>
      </c>
      <c r="J132" s="192">
        <v>0.4</v>
      </c>
      <c r="K132" s="191">
        <f t="shared" si="258"/>
        <v>48.388000000000005</v>
      </c>
      <c r="L132" s="201">
        <v>0.8</v>
      </c>
      <c r="M132" s="191">
        <f t="shared" si="259"/>
        <v>96.77600000000001</v>
      </c>
      <c r="N132" s="192">
        <v>1</v>
      </c>
      <c r="O132" s="191">
        <f t="shared" si="260"/>
        <v>46.151818181818179</v>
      </c>
      <c r="P132" s="201">
        <v>2.5</v>
      </c>
      <c r="Q132" s="191">
        <f t="shared" si="261"/>
        <v>115.37954545454545</v>
      </c>
      <c r="R132" s="192">
        <v>1</v>
      </c>
      <c r="S132" s="191">
        <f t="shared" si="262"/>
        <v>44.63739130434783</v>
      </c>
      <c r="T132" s="201">
        <v>2</v>
      </c>
      <c r="U132" s="191">
        <f t="shared" si="263"/>
        <v>89.274782608695659</v>
      </c>
      <c r="V132" s="192"/>
      <c r="W132" s="191">
        <f t="shared" si="264"/>
        <v>0</v>
      </c>
      <c r="X132" s="201"/>
      <c r="Y132" s="191">
        <f t="shared" si="265"/>
        <v>0</v>
      </c>
      <c r="Z132" s="192">
        <v>0.3</v>
      </c>
      <c r="AA132" s="191">
        <f t="shared" si="266"/>
        <v>14.022142857142855</v>
      </c>
      <c r="AB132" s="201">
        <v>1</v>
      </c>
      <c r="AC132" s="191">
        <f t="shared" si="267"/>
        <v>46.740476190476187</v>
      </c>
      <c r="AD132" s="192"/>
      <c r="AE132" s="191">
        <f t="shared" si="268"/>
        <v>0</v>
      </c>
      <c r="AF132" s="201">
        <v>0.5</v>
      </c>
      <c r="AG132" s="191">
        <f t="shared" si="269"/>
        <v>22.16403846153846</v>
      </c>
      <c r="AH132" s="192"/>
      <c r="AI132" s="191">
        <f t="shared" si="270"/>
        <v>0</v>
      </c>
      <c r="AJ132" s="201"/>
      <c r="AK132" s="191">
        <f t="shared" si="271"/>
        <v>0</v>
      </c>
      <c r="AL132" s="192"/>
      <c r="AM132" s="191">
        <f t="shared" si="272"/>
        <v>0</v>
      </c>
      <c r="AN132" s="201"/>
      <c r="AO132" s="191">
        <f t="shared" si="273"/>
        <v>0</v>
      </c>
      <c r="AP132" s="192"/>
      <c r="AQ132" s="191">
        <f t="shared" si="274"/>
        <v>0</v>
      </c>
      <c r="AR132" s="201"/>
      <c r="AS132" s="191">
        <f t="shared" si="275"/>
        <v>0</v>
      </c>
      <c r="AT132" s="194">
        <v>0</v>
      </c>
      <c r="AU132" s="195">
        <f>AT132*0.9</f>
        <v>0</v>
      </c>
      <c r="AV132" s="196">
        <f>AV130</f>
        <v>0</v>
      </c>
      <c r="AW132" s="191">
        <f t="shared" si="276"/>
        <v>0</v>
      </c>
      <c r="AX132" s="197">
        <v>0</v>
      </c>
      <c r="AY132" s="198">
        <v>0</v>
      </c>
      <c r="AZ132" s="191">
        <f>(AV132-AY132)*AU132</f>
        <v>0</v>
      </c>
      <c r="BA132" s="191">
        <f t="shared" si="277"/>
        <v>153.19935234330887</v>
      </c>
      <c r="BB132" s="191">
        <f t="shared" si="278"/>
        <v>353.3879677152558</v>
      </c>
      <c r="BC132" s="166">
        <f t="shared" si="279"/>
        <v>200.18861537194692</v>
      </c>
      <c r="BD132" s="199">
        <v>0.3</v>
      </c>
      <c r="BE132" s="200">
        <f>0.55*BD132*BF144</f>
        <v>0.11550000000000002</v>
      </c>
    </row>
    <row r="133" spans="2:60" ht="14.4" thickBot="1" x14ac:dyDescent="0.35">
      <c r="B133" s="309"/>
      <c r="C133" s="311"/>
      <c r="D133" s="316"/>
      <c r="E133" s="218" t="str">
        <f>E122</f>
        <v>nein</v>
      </c>
      <c r="F133" s="95" t="str">
        <f>F130</f>
        <v>Graminizid</v>
      </c>
      <c r="G133" s="220">
        <v>1</v>
      </c>
      <c r="H133" s="221">
        <v>25</v>
      </c>
      <c r="I133" s="244">
        <f t="shared" si="257"/>
        <v>40.318499999999993</v>
      </c>
      <c r="J133" s="222"/>
      <c r="K133" s="244">
        <f t="shared" si="258"/>
        <v>0</v>
      </c>
      <c r="L133" s="245"/>
      <c r="M133" s="244">
        <f t="shared" si="259"/>
        <v>0</v>
      </c>
      <c r="N133" s="222">
        <v>1</v>
      </c>
      <c r="O133" s="244">
        <f t="shared" si="260"/>
        <v>46.151818181818179</v>
      </c>
      <c r="P133" s="245">
        <v>2.5</v>
      </c>
      <c r="Q133" s="244">
        <f t="shared" si="261"/>
        <v>115.37954545454545</v>
      </c>
      <c r="R133" s="222">
        <v>1</v>
      </c>
      <c r="S133" s="244">
        <f t="shared" si="262"/>
        <v>44.63739130434783</v>
      </c>
      <c r="T133" s="245">
        <v>1.5</v>
      </c>
      <c r="U133" s="244">
        <f t="shared" si="263"/>
        <v>66.956086956521744</v>
      </c>
      <c r="V133" s="222"/>
      <c r="W133" s="244">
        <f t="shared" si="264"/>
        <v>0</v>
      </c>
      <c r="X133" s="245"/>
      <c r="Y133" s="244">
        <f t="shared" si="265"/>
        <v>0</v>
      </c>
      <c r="Z133" s="222">
        <v>0.5</v>
      </c>
      <c r="AA133" s="244">
        <f t="shared" si="266"/>
        <v>23.370238095238093</v>
      </c>
      <c r="AB133" s="245">
        <v>1</v>
      </c>
      <c r="AC133" s="244">
        <f t="shared" si="267"/>
        <v>46.740476190476187</v>
      </c>
      <c r="AD133" s="222"/>
      <c r="AE133" s="244">
        <f t="shared" si="268"/>
        <v>0</v>
      </c>
      <c r="AF133" s="245">
        <v>1</v>
      </c>
      <c r="AG133" s="244">
        <f t="shared" si="269"/>
        <v>44.328076923076921</v>
      </c>
      <c r="AH133" s="222"/>
      <c r="AI133" s="244">
        <f t="shared" si="270"/>
        <v>0</v>
      </c>
      <c r="AJ133" s="245"/>
      <c r="AK133" s="244">
        <f t="shared" si="271"/>
        <v>0</v>
      </c>
      <c r="AL133" s="222"/>
      <c r="AM133" s="244">
        <f t="shared" si="272"/>
        <v>0</v>
      </c>
      <c r="AN133" s="245"/>
      <c r="AO133" s="244">
        <f t="shared" si="273"/>
        <v>0</v>
      </c>
      <c r="AP133" s="222"/>
      <c r="AQ133" s="244">
        <f t="shared" si="274"/>
        <v>0</v>
      </c>
      <c r="AR133" s="245"/>
      <c r="AS133" s="244">
        <f t="shared" si="275"/>
        <v>0</v>
      </c>
      <c r="AT133" s="224">
        <f>AT132</f>
        <v>0</v>
      </c>
      <c r="AU133" s="225">
        <f t="shared" ref="AU133" si="282">AT133*0.9</f>
        <v>0</v>
      </c>
      <c r="AV133" s="226">
        <f>AV132</f>
        <v>0</v>
      </c>
      <c r="AW133" s="244">
        <f t="shared" si="276"/>
        <v>0</v>
      </c>
      <c r="AX133" s="227">
        <f>AX132</f>
        <v>0</v>
      </c>
      <c r="AY133" s="246">
        <v>0</v>
      </c>
      <c r="AZ133" s="244">
        <f t="shared" ref="AZ133" si="283">(AV133-AY133)*AU133</f>
        <v>0</v>
      </c>
      <c r="BA133" s="244">
        <f t="shared" si="277"/>
        <v>114.15944758140411</v>
      </c>
      <c r="BB133" s="244">
        <f t="shared" si="278"/>
        <v>268.95731052462031</v>
      </c>
      <c r="BC133" s="247">
        <f t="shared" si="279"/>
        <v>154.79786294321622</v>
      </c>
      <c r="BD133" s="229">
        <v>0.7</v>
      </c>
      <c r="BE133" s="248">
        <f>0.55*BD133*BF144</f>
        <v>0.26950000000000002</v>
      </c>
    </row>
    <row r="134" spans="2:60" ht="13.8" x14ac:dyDescent="0.3">
      <c r="B134" s="309"/>
      <c r="C134" s="311"/>
      <c r="D134" s="300" t="s">
        <v>64</v>
      </c>
      <c r="E134" s="77" t="s">
        <v>57</v>
      </c>
      <c r="F134" s="141"/>
      <c r="G134" s="142"/>
      <c r="H134" s="143"/>
      <c r="I134" s="144"/>
      <c r="J134" s="145"/>
      <c r="K134" s="144"/>
      <c r="L134" s="146"/>
      <c r="M134" s="144"/>
      <c r="N134" s="145"/>
      <c r="O134" s="144"/>
      <c r="P134" s="146"/>
      <c r="Q134" s="144"/>
      <c r="R134" s="145"/>
      <c r="S134" s="144"/>
      <c r="T134" s="146"/>
      <c r="U134" s="144"/>
      <c r="V134" s="145"/>
      <c r="W134" s="144"/>
      <c r="X134" s="146"/>
      <c r="Y134" s="144"/>
      <c r="Z134" s="145"/>
      <c r="AA134" s="144"/>
      <c r="AB134" s="146"/>
      <c r="AC134" s="144"/>
      <c r="AD134" s="145"/>
      <c r="AE134" s="144"/>
      <c r="AF134" s="146"/>
      <c r="AG134" s="144"/>
      <c r="AH134" s="145"/>
      <c r="AI134" s="144"/>
      <c r="AJ134" s="146"/>
      <c r="AK134" s="144"/>
      <c r="AL134" s="145"/>
      <c r="AM134" s="144"/>
      <c r="AN134" s="146"/>
      <c r="AO134" s="144"/>
      <c r="AP134" s="145"/>
      <c r="AQ134" s="144"/>
      <c r="AR134" s="146"/>
      <c r="AS134" s="144"/>
      <c r="AT134" s="147"/>
      <c r="AU134" s="147"/>
      <c r="AV134" s="148"/>
      <c r="AW134" s="144"/>
      <c r="AX134" s="148"/>
      <c r="AY134" s="148"/>
      <c r="AZ134" s="144"/>
      <c r="BA134" s="144"/>
      <c r="BB134" s="144"/>
      <c r="BC134" s="164">
        <f>(BC126*BE126+BC128*BE128+BC130*BE130+BC132*BE132)/(BE126+BE128+BE130+BE132)</f>
        <v>192.15748751309238</v>
      </c>
      <c r="BD134" s="150"/>
      <c r="BE134" s="92">
        <f>BE126+BE128+BE130+BE132</f>
        <v>0.17550020000000002</v>
      </c>
    </row>
    <row r="135" spans="2:60" ht="14.4" thickBot="1" x14ac:dyDescent="0.35">
      <c r="B135" s="309"/>
      <c r="C135" s="311"/>
      <c r="D135" s="301"/>
      <c r="E135" s="126" t="s">
        <v>59</v>
      </c>
      <c r="F135" s="151"/>
      <c r="G135" s="152"/>
      <c r="H135" s="153"/>
      <c r="I135" s="74"/>
      <c r="J135" s="154"/>
      <c r="K135" s="74"/>
      <c r="L135" s="155"/>
      <c r="M135" s="74"/>
      <c r="N135" s="154"/>
      <c r="O135" s="74"/>
      <c r="P135" s="155"/>
      <c r="Q135" s="74"/>
      <c r="R135" s="154"/>
      <c r="S135" s="74"/>
      <c r="T135" s="155"/>
      <c r="U135" s="74"/>
      <c r="V135" s="154"/>
      <c r="W135" s="74"/>
      <c r="X135" s="155"/>
      <c r="Y135" s="74"/>
      <c r="Z135" s="154"/>
      <c r="AA135" s="74"/>
      <c r="AB135" s="155"/>
      <c r="AC135" s="74"/>
      <c r="AD135" s="154"/>
      <c r="AE135" s="74"/>
      <c r="AF135" s="155"/>
      <c r="AG135" s="74"/>
      <c r="AH135" s="154"/>
      <c r="AI135" s="74"/>
      <c r="AJ135" s="155"/>
      <c r="AK135" s="74"/>
      <c r="AL135" s="154"/>
      <c r="AM135" s="74"/>
      <c r="AN135" s="155"/>
      <c r="AO135" s="74"/>
      <c r="AP135" s="154"/>
      <c r="AQ135" s="74"/>
      <c r="AR135" s="155"/>
      <c r="AS135" s="74"/>
      <c r="AT135" s="156"/>
      <c r="AU135" s="156"/>
      <c r="AV135" s="157"/>
      <c r="AW135" s="74"/>
      <c r="AX135" s="157"/>
      <c r="AY135" s="157"/>
      <c r="AZ135" s="74"/>
      <c r="BA135" s="74"/>
      <c r="BB135" s="74"/>
      <c r="BC135" s="169">
        <f>(BC127*BE127+BC129*BE129+BC131*BE131+BC133*BE133)/(BE127+BE129+BE131+BE133)</f>
        <v>151.48601278312537</v>
      </c>
      <c r="BD135" s="158"/>
      <c r="BE135" s="140">
        <f>BE127+BE129+BE131+BE133</f>
        <v>0.3828338</v>
      </c>
    </row>
    <row r="136" spans="2:60" ht="14.4" thickBot="1" x14ac:dyDescent="0.35">
      <c r="B136" s="309"/>
      <c r="C136" s="312"/>
      <c r="D136" s="317"/>
      <c r="E136" s="159" t="s">
        <v>65</v>
      </c>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c r="AX136" s="160"/>
      <c r="AY136" s="160"/>
      <c r="AZ136" s="160"/>
      <c r="BA136" s="160"/>
      <c r="BB136" s="160"/>
      <c r="BC136" s="172">
        <f>(BC134*BE134+BC135*BE135)/(BE134+BE135)</f>
        <v>164.27020996510632</v>
      </c>
      <c r="BD136" s="162"/>
      <c r="BE136" s="163">
        <f>BE134+BE135</f>
        <v>0.558334</v>
      </c>
    </row>
    <row r="137" spans="2:60" ht="13.8" x14ac:dyDescent="0.3">
      <c r="B137" s="309"/>
      <c r="C137" s="310" t="s">
        <v>59</v>
      </c>
      <c r="D137" s="313" t="s">
        <v>56</v>
      </c>
      <c r="E137" s="77" t="str">
        <f t="shared" ref="E137:E144" si="284">E126</f>
        <v>ja</v>
      </c>
      <c r="F137" s="78"/>
      <c r="G137" s="79">
        <v>0</v>
      </c>
      <c r="H137" s="80">
        <v>0</v>
      </c>
      <c r="I137" s="90">
        <f t="shared" ref="I137:I144" si="285">IF(G137=0,0,G137*H137+$H$5+$H$6)</f>
        <v>0</v>
      </c>
      <c r="J137" s="82">
        <v>0.1</v>
      </c>
      <c r="K137" s="90">
        <f t="shared" ref="K137:K144" si="286">J137*(J$10*$C$6+L$10)</f>
        <v>12.097000000000001</v>
      </c>
      <c r="L137" s="84">
        <v>0.1</v>
      </c>
      <c r="M137" s="90">
        <f t="shared" ref="M137:M144" si="287">L137*(J$10*$C$6+L$10)</f>
        <v>12.097000000000001</v>
      </c>
      <c r="N137" s="82">
        <v>0.9</v>
      </c>
      <c r="O137" s="90">
        <f t="shared" ref="O137:O144" si="288">N137*(N$10*$C$6+P$10)</f>
        <v>41.536636363636362</v>
      </c>
      <c r="P137" s="84">
        <v>1.5</v>
      </c>
      <c r="Q137" s="90">
        <f t="shared" ref="Q137:Q144" si="289">P137*(N$10*$C$6+P$10)</f>
        <v>69.227727272727265</v>
      </c>
      <c r="R137" s="82">
        <v>0.5</v>
      </c>
      <c r="S137" s="90">
        <f t="shared" ref="S137:S144" si="290">R137*(R$10*$C$6+T$10)</f>
        <v>22.318695652173915</v>
      </c>
      <c r="T137" s="84">
        <v>1</v>
      </c>
      <c r="U137" s="90">
        <f t="shared" ref="U137:U144" si="291">T137*(R$10*$C$6+T$10)</f>
        <v>44.63739130434783</v>
      </c>
      <c r="V137" s="82"/>
      <c r="W137" s="90">
        <f t="shared" ref="W137:W144" si="292">V137*(V$10*$C$6+X$10)</f>
        <v>0</v>
      </c>
      <c r="X137" s="84"/>
      <c r="Y137" s="90">
        <f t="shared" ref="Y137:Y144" si="293">X137*(V$10*$C$6+X$10)</f>
        <v>0</v>
      </c>
      <c r="Z137" s="82"/>
      <c r="AA137" s="90">
        <f t="shared" ref="AA137:AA144" si="294">Z137*(Z$10*$C$6+AB$10)</f>
        <v>0</v>
      </c>
      <c r="AB137" s="84"/>
      <c r="AC137" s="90">
        <f t="shared" ref="AC137:AC144" si="295">AB137*(Z$10*$C$6+AB$10)</f>
        <v>0</v>
      </c>
      <c r="AD137" s="82"/>
      <c r="AE137" s="90">
        <f t="shared" ref="AE137:AE144" si="296">AD137*(AD$10*$C$6+AF$10)</f>
        <v>0</v>
      </c>
      <c r="AF137" s="84"/>
      <c r="AG137" s="90">
        <f t="shared" ref="AG137:AG144" si="297">AF137*(AD$10*$C$6+AF$10)</f>
        <v>0</v>
      </c>
      <c r="AH137" s="82"/>
      <c r="AI137" s="90">
        <f t="shared" ref="AI137:AI144" si="298">AH137*(AH$10*$C$6+AJ$10)</f>
        <v>0</v>
      </c>
      <c r="AJ137" s="84"/>
      <c r="AK137" s="90">
        <f t="shared" ref="AK137:AK144" si="299">AJ137*(AH$10*$C$6+AJ$10)</f>
        <v>0</v>
      </c>
      <c r="AL137" s="82"/>
      <c r="AM137" s="90">
        <f t="shared" ref="AM137:AM144" si="300">AL137*(AL$10*$C$6+AN$10)</f>
        <v>0</v>
      </c>
      <c r="AN137" s="84"/>
      <c r="AO137" s="90">
        <f t="shared" ref="AO137:AO144" si="301">AN137*(AL$10*$C$6+AN$10)</f>
        <v>0</v>
      </c>
      <c r="AP137" s="82"/>
      <c r="AQ137" s="90">
        <f t="shared" ref="AQ137:AQ144" si="302">AP137*(AP$10*$C$6+AR$10)</f>
        <v>0</v>
      </c>
      <c r="AR137" s="84"/>
      <c r="AS137" s="90">
        <f t="shared" ref="AS137:AS144" si="303">AR137*(AP$10*$C$6+AR$10)</f>
        <v>0</v>
      </c>
      <c r="AT137" s="85">
        <f>AT127</f>
        <v>0</v>
      </c>
      <c r="AU137" s="86">
        <f>AT137*0.9</f>
        <v>0</v>
      </c>
      <c r="AV137" s="87">
        <f>AV126</f>
        <v>0</v>
      </c>
      <c r="AW137" s="90">
        <f t="shared" ref="AW137:AW144" si="304">AV137*(AT137-AU137)</f>
        <v>0</v>
      </c>
      <c r="AX137" s="88">
        <v>0</v>
      </c>
      <c r="AY137" s="89">
        <f t="shared" ref="AY137:AY138" si="305">AV137</f>
        <v>0</v>
      </c>
      <c r="AZ137" s="90">
        <f>(AV137-AY137)*AU137</f>
        <v>0</v>
      </c>
      <c r="BA137" s="90">
        <f t="shared" ref="BA137:BA144" si="306">IF(SUM(AO137+AD137+Z137+V137+R137+N137+J137)=0,0,K137+O137+S137+W137+AA137+AE137+AH137+AL137+AP137+AX137)</f>
        <v>75.952332015810271</v>
      </c>
      <c r="BB137" s="90">
        <f t="shared" ref="BB137:BB144" si="307">IF(SUM(AR137+AF137+AB137+X137+T137+P137+L137)=0,0,I137+M137+Q137+U137+Y137+AC137+AG137+AK137+AO137+AS137+AW137+AZ137-$H$8)</f>
        <v>81.196743577075097</v>
      </c>
      <c r="BC137" s="164">
        <f t="shared" ref="BC137:BC144" si="308">IF(BB137-BA137&gt;0,BB137-BA137,0)</f>
        <v>5.2444115612648261</v>
      </c>
      <c r="BD137" s="181">
        <v>0.5</v>
      </c>
      <c r="BE137" s="92">
        <f>0.6*BD137*BF138</f>
        <v>0.03</v>
      </c>
    </row>
    <row r="138" spans="2:60" ht="13.8" x14ac:dyDescent="0.3">
      <c r="B138" s="309"/>
      <c r="C138" s="311"/>
      <c r="D138" s="314"/>
      <c r="E138" s="94" t="str">
        <f t="shared" si="284"/>
        <v>nein</v>
      </c>
      <c r="F138" s="95"/>
      <c r="G138" s="96">
        <v>0</v>
      </c>
      <c r="H138" s="97">
        <v>0</v>
      </c>
      <c r="I138" s="107">
        <f t="shared" si="285"/>
        <v>0</v>
      </c>
      <c r="J138" s="99"/>
      <c r="K138" s="107">
        <f t="shared" si="286"/>
        <v>0</v>
      </c>
      <c r="L138" s="101"/>
      <c r="M138" s="107">
        <f t="shared" si="287"/>
        <v>0</v>
      </c>
      <c r="N138" s="99">
        <v>1</v>
      </c>
      <c r="O138" s="107">
        <f t="shared" si="288"/>
        <v>46.151818181818179</v>
      </c>
      <c r="P138" s="101">
        <v>1.5</v>
      </c>
      <c r="Q138" s="107">
        <f t="shared" si="289"/>
        <v>69.227727272727265</v>
      </c>
      <c r="R138" s="99">
        <v>1</v>
      </c>
      <c r="S138" s="107">
        <f t="shared" si="290"/>
        <v>44.63739130434783</v>
      </c>
      <c r="T138" s="101">
        <v>1.5</v>
      </c>
      <c r="U138" s="107">
        <f t="shared" si="291"/>
        <v>66.956086956521744</v>
      </c>
      <c r="V138" s="99"/>
      <c r="W138" s="107">
        <f t="shared" si="292"/>
        <v>0</v>
      </c>
      <c r="X138" s="101"/>
      <c r="Y138" s="107">
        <f t="shared" si="293"/>
        <v>0</v>
      </c>
      <c r="Z138" s="99"/>
      <c r="AA138" s="107">
        <f t="shared" si="294"/>
        <v>0</v>
      </c>
      <c r="AB138" s="101"/>
      <c r="AC138" s="107">
        <f t="shared" si="295"/>
        <v>0</v>
      </c>
      <c r="AD138" s="99"/>
      <c r="AE138" s="107">
        <f t="shared" si="296"/>
        <v>0</v>
      </c>
      <c r="AF138" s="101">
        <v>0.5</v>
      </c>
      <c r="AG138" s="107">
        <f t="shared" si="297"/>
        <v>22.16403846153846</v>
      </c>
      <c r="AH138" s="99"/>
      <c r="AI138" s="107">
        <f t="shared" si="298"/>
        <v>0</v>
      </c>
      <c r="AJ138" s="101"/>
      <c r="AK138" s="107">
        <f t="shared" si="299"/>
        <v>0</v>
      </c>
      <c r="AL138" s="99"/>
      <c r="AM138" s="107">
        <f t="shared" si="300"/>
        <v>0</v>
      </c>
      <c r="AN138" s="101"/>
      <c r="AO138" s="107">
        <f t="shared" si="301"/>
        <v>0</v>
      </c>
      <c r="AP138" s="99"/>
      <c r="AQ138" s="107">
        <f t="shared" si="302"/>
        <v>0</v>
      </c>
      <c r="AR138" s="101"/>
      <c r="AS138" s="107">
        <f t="shared" si="303"/>
        <v>0</v>
      </c>
      <c r="AT138" s="102">
        <f>AT137</f>
        <v>0</v>
      </c>
      <c r="AU138" s="103">
        <f>AT138*0.9</f>
        <v>0</v>
      </c>
      <c r="AV138" s="104">
        <f>AV137</f>
        <v>0</v>
      </c>
      <c r="AW138" s="107">
        <f t="shared" si="304"/>
        <v>0</v>
      </c>
      <c r="AX138" s="105">
        <v>0</v>
      </c>
      <c r="AY138" s="106">
        <f t="shared" si="305"/>
        <v>0</v>
      </c>
      <c r="AZ138" s="107">
        <f>(AV138-AY138)*AU138</f>
        <v>0</v>
      </c>
      <c r="BA138" s="107">
        <f t="shared" si="306"/>
        <v>90.789209486166015</v>
      </c>
      <c r="BB138" s="107">
        <f t="shared" si="307"/>
        <v>113.58247769078747</v>
      </c>
      <c r="BC138" s="107">
        <f t="shared" si="308"/>
        <v>22.793268204621455</v>
      </c>
      <c r="BD138" s="183">
        <v>0.5</v>
      </c>
      <c r="BE138" s="109">
        <f>BF138-BE137-BE127-BE126</f>
        <v>0.03</v>
      </c>
      <c r="BF138" s="205">
        <v>0.1</v>
      </c>
    </row>
    <row r="139" spans="2:60" ht="13.8" x14ac:dyDescent="0.3">
      <c r="B139" s="309"/>
      <c r="C139" s="311"/>
      <c r="D139" s="315" t="s">
        <v>58</v>
      </c>
      <c r="E139" s="187" t="str">
        <f t="shared" si="284"/>
        <v>ja</v>
      </c>
      <c r="F139" s="188"/>
      <c r="G139" s="189">
        <v>0</v>
      </c>
      <c r="H139" s="190">
        <v>0</v>
      </c>
      <c r="I139" s="191">
        <f t="shared" si="285"/>
        <v>0</v>
      </c>
      <c r="J139" s="192">
        <v>0.7</v>
      </c>
      <c r="K139" s="191">
        <f t="shared" si="286"/>
        <v>84.678999999999988</v>
      </c>
      <c r="L139" s="201">
        <v>1</v>
      </c>
      <c r="M139" s="191">
        <f t="shared" si="287"/>
        <v>120.97</v>
      </c>
      <c r="N139" s="192">
        <v>0.5</v>
      </c>
      <c r="O139" s="191">
        <f t="shared" si="288"/>
        <v>23.075909090909089</v>
      </c>
      <c r="P139" s="201">
        <v>1</v>
      </c>
      <c r="Q139" s="191">
        <f t="shared" si="289"/>
        <v>46.151818181818179</v>
      </c>
      <c r="R139" s="192">
        <v>1</v>
      </c>
      <c r="S139" s="191">
        <f t="shared" si="290"/>
        <v>44.63739130434783</v>
      </c>
      <c r="T139" s="201">
        <v>1</v>
      </c>
      <c r="U139" s="191">
        <f t="shared" si="291"/>
        <v>44.63739130434783</v>
      </c>
      <c r="V139" s="192"/>
      <c r="W139" s="191">
        <f t="shared" si="292"/>
        <v>0</v>
      </c>
      <c r="X139" s="201"/>
      <c r="Y139" s="191">
        <f t="shared" si="293"/>
        <v>0</v>
      </c>
      <c r="Z139" s="192">
        <v>1</v>
      </c>
      <c r="AA139" s="191">
        <f t="shared" si="294"/>
        <v>46.740476190476187</v>
      </c>
      <c r="AB139" s="201">
        <v>1</v>
      </c>
      <c r="AC139" s="191">
        <f t="shared" si="295"/>
        <v>46.740476190476187</v>
      </c>
      <c r="AD139" s="192"/>
      <c r="AE139" s="191">
        <f t="shared" si="296"/>
        <v>0</v>
      </c>
      <c r="AF139" s="201">
        <v>0.5</v>
      </c>
      <c r="AG139" s="191">
        <f t="shared" si="297"/>
        <v>22.16403846153846</v>
      </c>
      <c r="AH139" s="192"/>
      <c r="AI139" s="191">
        <f t="shared" si="298"/>
        <v>0</v>
      </c>
      <c r="AJ139" s="201"/>
      <c r="AK139" s="191">
        <f t="shared" si="299"/>
        <v>0</v>
      </c>
      <c r="AL139" s="192"/>
      <c r="AM139" s="191">
        <f t="shared" si="300"/>
        <v>0</v>
      </c>
      <c r="AN139" s="201"/>
      <c r="AO139" s="191">
        <f t="shared" si="301"/>
        <v>0</v>
      </c>
      <c r="AP139" s="192"/>
      <c r="AQ139" s="191">
        <f t="shared" si="302"/>
        <v>0</v>
      </c>
      <c r="AR139" s="201"/>
      <c r="AS139" s="191">
        <f t="shared" si="303"/>
        <v>0</v>
      </c>
      <c r="AT139" s="195">
        <f>AT137</f>
        <v>0</v>
      </c>
      <c r="AU139" s="195">
        <f>AT139*0.9</f>
        <v>0</v>
      </c>
      <c r="AV139" s="196">
        <f>AV137</f>
        <v>0</v>
      </c>
      <c r="AW139" s="191">
        <f t="shared" si="304"/>
        <v>0</v>
      </c>
      <c r="AX139" s="197">
        <v>2</v>
      </c>
      <c r="AY139" s="198">
        <f>AV$126+AV139-AY$126</f>
        <v>0</v>
      </c>
      <c r="AZ139" s="191">
        <f>(AV139-AY139)*AU139</f>
        <v>0</v>
      </c>
      <c r="BA139" s="191">
        <f t="shared" si="306"/>
        <v>201.1327765857331</v>
      </c>
      <c r="BB139" s="191">
        <f t="shared" si="307"/>
        <v>235.89834913818066</v>
      </c>
      <c r="BC139" s="166">
        <f t="shared" si="308"/>
        <v>34.765572552447566</v>
      </c>
      <c r="BD139" s="199">
        <v>0.5</v>
      </c>
      <c r="BE139" s="200">
        <f>0.6*BD139*BF140</f>
        <v>0</v>
      </c>
    </row>
    <row r="140" spans="2:60" ht="13.8" x14ac:dyDescent="0.3">
      <c r="B140" s="309"/>
      <c r="C140" s="311"/>
      <c r="D140" s="314"/>
      <c r="E140" s="94" t="str">
        <f t="shared" si="284"/>
        <v>nein</v>
      </c>
      <c r="F140" s="95"/>
      <c r="G140" s="96">
        <v>0</v>
      </c>
      <c r="H140" s="97">
        <v>0</v>
      </c>
      <c r="I140" s="98">
        <f t="shared" si="285"/>
        <v>0</v>
      </c>
      <c r="J140" s="99"/>
      <c r="K140" s="98">
        <f t="shared" si="286"/>
        <v>0</v>
      </c>
      <c r="L140" s="101"/>
      <c r="M140" s="98">
        <f t="shared" si="287"/>
        <v>0</v>
      </c>
      <c r="N140" s="99">
        <v>1</v>
      </c>
      <c r="O140" s="98">
        <f t="shared" si="288"/>
        <v>46.151818181818179</v>
      </c>
      <c r="P140" s="101">
        <v>1.5</v>
      </c>
      <c r="Q140" s="98">
        <f t="shared" si="289"/>
        <v>69.227727272727265</v>
      </c>
      <c r="R140" s="99">
        <v>1</v>
      </c>
      <c r="S140" s="98">
        <f t="shared" si="290"/>
        <v>44.63739130434783</v>
      </c>
      <c r="T140" s="101">
        <v>1</v>
      </c>
      <c r="U140" s="98">
        <f t="shared" si="291"/>
        <v>44.63739130434783</v>
      </c>
      <c r="V140" s="99"/>
      <c r="W140" s="98">
        <f t="shared" si="292"/>
        <v>0</v>
      </c>
      <c r="X140" s="101"/>
      <c r="Y140" s="98">
        <f t="shared" si="293"/>
        <v>0</v>
      </c>
      <c r="Z140" s="99">
        <v>1</v>
      </c>
      <c r="AA140" s="98">
        <f t="shared" si="294"/>
        <v>46.740476190476187</v>
      </c>
      <c r="AB140" s="101">
        <v>1</v>
      </c>
      <c r="AC140" s="98">
        <f t="shared" si="295"/>
        <v>46.740476190476187</v>
      </c>
      <c r="AD140" s="99"/>
      <c r="AE140" s="98">
        <f t="shared" si="296"/>
        <v>0</v>
      </c>
      <c r="AF140" s="101">
        <v>1</v>
      </c>
      <c r="AG140" s="98">
        <f t="shared" si="297"/>
        <v>44.328076923076921</v>
      </c>
      <c r="AH140" s="99"/>
      <c r="AI140" s="98">
        <f t="shared" si="298"/>
        <v>0</v>
      </c>
      <c r="AJ140" s="101"/>
      <c r="AK140" s="98">
        <f t="shared" si="299"/>
        <v>0</v>
      </c>
      <c r="AL140" s="99"/>
      <c r="AM140" s="98">
        <f t="shared" si="300"/>
        <v>0</v>
      </c>
      <c r="AN140" s="101"/>
      <c r="AO140" s="98">
        <f t="shared" si="301"/>
        <v>0</v>
      </c>
      <c r="AP140" s="99"/>
      <c r="AQ140" s="98">
        <f t="shared" si="302"/>
        <v>0</v>
      </c>
      <c r="AR140" s="101"/>
      <c r="AS140" s="98">
        <f t="shared" si="303"/>
        <v>0</v>
      </c>
      <c r="AT140" s="102">
        <f>AT138</f>
        <v>0</v>
      </c>
      <c r="AU140" s="103">
        <f>AT140*0.9</f>
        <v>0</v>
      </c>
      <c r="AV140" s="104">
        <f>AV138</f>
        <v>0</v>
      </c>
      <c r="AW140" s="98">
        <f t="shared" si="304"/>
        <v>0</v>
      </c>
      <c r="AX140" s="105">
        <v>3</v>
      </c>
      <c r="AY140" s="106">
        <f>AV$126+AV140-AY$126</f>
        <v>0</v>
      </c>
      <c r="AZ140" s="98">
        <f>(AV140-AY140)*AU140</f>
        <v>0</v>
      </c>
      <c r="BA140" s="98">
        <f t="shared" si="306"/>
        <v>140.5296856766422</v>
      </c>
      <c r="BB140" s="98">
        <f t="shared" si="307"/>
        <v>160.16829669062821</v>
      </c>
      <c r="BC140" s="107">
        <f t="shared" si="308"/>
        <v>19.638611013986008</v>
      </c>
      <c r="BD140" s="183">
        <v>0.5</v>
      </c>
      <c r="BE140" s="109">
        <f>BF140-BE139-BE129-BE128</f>
        <v>0</v>
      </c>
      <c r="BF140" s="205">
        <v>0</v>
      </c>
    </row>
    <row r="141" spans="2:60" ht="13.8" x14ac:dyDescent="0.3">
      <c r="B141" s="309"/>
      <c r="C141" s="311"/>
      <c r="D141" s="296" t="s">
        <v>60</v>
      </c>
      <c r="E141" s="187" t="str">
        <f t="shared" si="284"/>
        <v>ja</v>
      </c>
      <c r="F141" s="188" t="str">
        <f>F119</f>
        <v>Graminizid</v>
      </c>
      <c r="G141" s="202">
        <v>0.5</v>
      </c>
      <c r="H141" s="242">
        <v>25</v>
      </c>
      <c r="I141" s="243">
        <f t="shared" si="285"/>
        <v>27.8185</v>
      </c>
      <c r="J141" s="192">
        <v>0.3</v>
      </c>
      <c r="K141" s="243">
        <f t="shared" si="286"/>
        <v>36.290999999999997</v>
      </c>
      <c r="L141" s="201">
        <v>0.8</v>
      </c>
      <c r="M141" s="243">
        <f t="shared" si="287"/>
        <v>96.77600000000001</v>
      </c>
      <c r="N141" s="192">
        <v>0.7</v>
      </c>
      <c r="O141" s="243">
        <f t="shared" si="288"/>
        <v>32.30627272727272</v>
      </c>
      <c r="P141" s="201">
        <v>1.5</v>
      </c>
      <c r="Q141" s="243">
        <f t="shared" si="289"/>
        <v>69.227727272727265</v>
      </c>
      <c r="R141" s="192">
        <v>1</v>
      </c>
      <c r="S141" s="243">
        <f t="shared" si="290"/>
        <v>44.63739130434783</v>
      </c>
      <c r="T141" s="201">
        <v>1.5</v>
      </c>
      <c r="U141" s="243">
        <f t="shared" si="291"/>
        <v>66.956086956521744</v>
      </c>
      <c r="V141" s="192"/>
      <c r="W141" s="243">
        <f t="shared" si="292"/>
        <v>0</v>
      </c>
      <c r="X141" s="201"/>
      <c r="Y141" s="243">
        <f t="shared" si="293"/>
        <v>0</v>
      </c>
      <c r="Z141" s="192"/>
      <c r="AA141" s="243">
        <f t="shared" si="294"/>
        <v>0</v>
      </c>
      <c r="AB141" s="201"/>
      <c r="AC141" s="243">
        <f t="shared" si="295"/>
        <v>0</v>
      </c>
      <c r="AD141" s="192"/>
      <c r="AE141" s="243">
        <f t="shared" si="296"/>
        <v>0</v>
      </c>
      <c r="AF141" s="201">
        <v>0.5</v>
      </c>
      <c r="AG141" s="243">
        <f t="shared" si="297"/>
        <v>22.16403846153846</v>
      </c>
      <c r="AH141" s="192"/>
      <c r="AI141" s="243">
        <f t="shared" si="298"/>
        <v>0</v>
      </c>
      <c r="AJ141" s="201"/>
      <c r="AK141" s="243">
        <f t="shared" si="299"/>
        <v>0</v>
      </c>
      <c r="AL141" s="192"/>
      <c r="AM141" s="243">
        <f t="shared" si="300"/>
        <v>0</v>
      </c>
      <c r="AN141" s="201"/>
      <c r="AO141" s="243">
        <f t="shared" si="301"/>
        <v>0</v>
      </c>
      <c r="AP141" s="192"/>
      <c r="AQ141" s="243">
        <f t="shared" si="302"/>
        <v>0</v>
      </c>
      <c r="AR141" s="201"/>
      <c r="AS141" s="243">
        <f t="shared" si="303"/>
        <v>0</v>
      </c>
      <c r="AT141" s="194">
        <v>0</v>
      </c>
      <c r="AU141" s="195">
        <f>AT141*0.9</f>
        <v>0</v>
      </c>
      <c r="AV141" s="196">
        <f>AV130</f>
        <v>0</v>
      </c>
      <c r="AW141" s="243">
        <f t="shared" si="304"/>
        <v>0</v>
      </c>
      <c r="AX141" s="197">
        <v>0</v>
      </c>
      <c r="AY141" s="198">
        <f>AV141-AX141</f>
        <v>0</v>
      </c>
      <c r="AZ141" s="243">
        <f>(AV141-AY141)*AU141</f>
        <v>0</v>
      </c>
      <c r="BA141" s="243">
        <f t="shared" si="306"/>
        <v>113.23466403162055</v>
      </c>
      <c r="BB141" s="243">
        <f t="shared" si="307"/>
        <v>238.17697769078745</v>
      </c>
      <c r="BC141" s="166">
        <f t="shared" si="308"/>
        <v>124.9423136591669</v>
      </c>
      <c r="BD141" s="199">
        <v>0.2</v>
      </c>
      <c r="BE141" s="200">
        <f>0.33333*BD141*BF142</f>
        <v>1.3333200000000002E-2</v>
      </c>
    </row>
    <row r="142" spans="2:60" ht="13.8" x14ac:dyDescent="0.3">
      <c r="B142" s="309"/>
      <c r="C142" s="311"/>
      <c r="D142" s="297"/>
      <c r="E142" s="94" t="str">
        <f t="shared" si="284"/>
        <v>nein</v>
      </c>
      <c r="F142" s="95" t="str">
        <f>F141</f>
        <v>Graminizid</v>
      </c>
      <c r="G142" s="96">
        <v>1</v>
      </c>
      <c r="H142" s="97">
        <v>25</v>
      </c>
      <c r="I142" s="107">
        <f t="shared" si="285"/>
        <v>40.318499999999993</v>
      </c>
      <c r="J142" s="99"/>
      <c r="K142" s="107">
        <f t="shared" si="286"/>
        <v>0</v>
      </c>
      <c r="L142" s="101"/>
      <c r="M142" s="107">
        <f t="shared" si="287"/>
        <v>0</v>
      </c>
      <c r="N142" s="99">
        <v>1</v>
      </c>
      <c r="O142" s="107">
        <f t="shared" si="288"/>
        <v>46.151818181818179</v>
      </c>
      <c r="P142" s="101">
        <v>2</v>
      </c>
      <c r="Q142" s="107">
        <f t="shared" si="289"/>
        <v>92.303636363636357</v>
      </c>
      <c r="R142" s="99">
        <v>1</v>
      </c>
      <c r="S142" s="107">
        <f t="shared" si="290"/>
        <v>44.63739130434783</v>
      </c>
      <c r="T142" s="101">
        <v>1.5</v>
      </c>
      <c r="U142" s="107">
        <f t="shared" si="291"/>
        <v>66.956086956521744</v>
      </c>
      <c r="V142" s="99"/>
      <c r="W142" s="107">
        <f t="shared" si="292"/>
        <v>0</v>
      </c>
      <c r="X142" s="101"/>
      <c r="Y142" s="107">
        <f t="shared" si="293"/>
        <v>0</v>
      </c>
      <c r="Z142" s="99"/>
      <c r="AA142" s="107">
        <f t="shared" si="294"/>
        <v>0</v>
      </c>
      <c r="AB142" s="101"/>
      <c r="AC142" s="107">
        <f t="shared" si="295"/>
        <v>0</v>
      </c>
      <c r="AD142" s="99"/>
      <c r="AE142" s="107">
        <f t="shared" si="296"/>
        <v>0</v>
      </c>
      <c r="AF142" s="101">
        <v>1</v>
      </c>
      <c r="AG142" s="107">
        <f t="shared" si="297"/>
        <v>44.328076923076921</v>
      </c>
      <c r="AH142" s="99"/>
      <c r="AI142" s="107">
        <f t="shared" si="298"/>
        <v>0</v>
      </c>
      <c r="AJ142" s="101"/>
      <c r="AK142" s="107">
        <f t="shared" si="299"/>
        <v>0</v>
      </c>
      <c r="AL142" s="99"/>
      <c r="AM142" s="107">
        <f t="shared" si="300"/>
        <v>0</v>
      </c>
      <c r="AN142" s="101"/>
      <c r="AO142" s="107">
        <f t="shared" si="301"/>
        <v>0</v>
      </c>
      <c r="AP142" s="99"/>
      <c r="AQ142" s="107">
        <f t="shared" si="302"/>
        <v>0</v>
      </c>
      <c r="AR142" s="101"/>
      <c r="AS142" s="107">
        <f t="shared" si="303"/>
        <v>0</v>
      </c>
      <c r="AT142" s="102">
        <f>AT141</f>
        <v>0</v>
      </c>
      <c r="AU142" s="103">
        <f t="shared" ref="AU142" si="309">AT142*0.9</f>
        <v>0</v>
      </c>
      <c r="AV142" s="104">
        <f>AV141</f>
        <v>0</v>
      </c>
      <c r="AW142" s="107">
        <f t="shared" si="304"/>
        <v>0</v>
      </c>
      <c r="AX142" s="105">
        <f>AX141</f>
        <v>0</v>
      </c>
      <c r="AY142" s="106">
        <f>AV142-AX142</f>
        <v>0</v>
      </c>
      <c r="AZ142" s="107">
        <f t="shared" ref="AZ142" si="310">(AV142-AY142)*AU142</f>
        <v>0</v>
      </c>
      <c r="BA142" s="107">
        <f t="shared" si="306"/>
        <v>90.789209486166015</v>
      </c>
      <c r="BB142" s="107">
        <f t="shared" si="307"/>
        <v>199.14092524323502</v>
      </c>
      <c r="BC142" s="107">
        <f t="shared" si="308"/>
        <v>108.351715757069</v>
      </c>
      <c r="BD142" s="183">
        <v>0.8</v>
      </c>
      <c r="BE142" s="109">
        <f>BF142-BE141-BE131-BE130</f>
        <v>5.3332800000000027E-2</v>
      </c>
      <c r="BF142" s="205">
        <v>0.2</v>
      </c>
    </row>
    <row r="143" spans="2:60" ht="13.8" x14ac:dyDescent="0.3">
      <c r="B143" s="309"/>
      <c r="C143" s="311"/>
      <c r="D143" s="298" t="s">
        <v>61</v>
      </c>
      <c r="E143" s="187" t="str">
        <f t="shared" si="284"/>
        <v>ja</v>
      </c>
      <c r="F143" s="188" t="str">
        <f>F141</f>
        <v>Graminizid</v>
      </c>
      <c r="G143" s="202">
        <v>0.5</v>
      </c>
      <c r="H143" s="203">
        <v>25</v>
      </c>
      <c r="I143" s="191">
        <f t="shared" si="285"/>
        <v>27.8185</v>
      </c>
      <c r="J143" s="192">
        <v>0.3</v>
      </c>
      <c r="K143" s="191">
        <f t="shared" si="286"/>
        <v>36.290999999999997</v>
      </c>
      <c r="L143" s="201">
        <v>0.8</v>
      </c>
      <c r="M143" s="191">
        <f t="shared" si="287"/>
        <v>96.77600000000001</v>
      </c>
      <c r="N143" s="192">
        <v>0.7</v>
      </c>
      <c r="O143" s="191">
        <f t="shared" si="288"/>
        <v>32.30627272727272</v>
      </c>
      <c r="P143" s="201">
        <v>1.5</v>
      </c>
      <c r="Q143" s="191">
        <f t="shared" si="289"/>
        <v>69.227727272727265</v>
      </c>
      <c r="R143" s="192">
        <v>1</v>
      </c>
      <c r="S143" s="191">
        <f t="shared" si="290"/>
        <v>44.63739130434783</v>
      </c>
      <c r="T143" s="201">
        <v>1.5</v>
      </c>
      <c r="U143" s="191">
        <f t="shared" si="291"/>
        <v>66.956086956521744</v>
      </c>
      <c r="V143" s="192"/>
      <c r="W143" s="191">
        <f t="shared" si="292"/>
        <v>0</v>
      </c>
      <c r="X143" s="201"/>
      <c r="Y143" s="191">
        <f t="shared" si="293"/>
        <v>0</v>
      </c>
      <c r="Z143" s="192"/>
      <c r="AA143" s="191">
        <f t="shared" si="294"/>
        <v>0</v>
      </c>
      <c r="AB143" s="201"/>
      <c r="AC143" s="191">
        <f t="shared" si="295"/>
        <v>0</v>
      </c>
      <c r="AD143" s="192"/>
      <c r="AE143" s="191">
        <f t="shared" si="296"/>
        <v>0</v>
      </c>
      <c r="AF143" s="201">
        <v>0.5</v>
      </c>
      <c r="AG143" s="191">
        <f t="shared" si="297"/>
        <v>22.16403846153846</v>
      </c>
      <c r="AH143" s="192"/>
      <c r="AI143" s="191">
        <f t="shared" si="298"/>
        <v>0</v>
      </c>
      <c r="AJ143" s="201"/>
      <c r="AK143" s="191">
        <f t="shared" si="299"/>
        <v>0</v>
      </c>
      <c r="AL143" s="192"/>
      <c r="AM143" s="191">
        <f t="shared" si="300"/>
        <v>0</v>
      </c>
      <c r="AN143" s="201"/>
      <c r="AO143" s="191">
        <f t="shared" si="301"/>
        <v>0</v>
      </c>
      <c r="AP143" s="192"/>
      <c r="AQ143" s="191">
        <f t="shared" si="302"/>
        <v>0</v>
      </c>
      <c r="AR143" s="201"/>
      <c r="AS143" s="191">
        <f t="shared" si="303"/>
        <v>0</v>
      </c>
      <c r="AT143" s="194">
        <v>0</v>
      </c>
      <c r="AU143" s="195">
        <f>AT143*0.9</f>
        <v>0</v>
      </c>
      <c r="AV143" s="196">
        <f>AV132</f>
        <v>0</v>
      </c>
      <c r="AW143" s="191">
        <f t="shared" si="304"/>
        <v>0</v>
      </c>
      <c r="AX143" s="197">
        <v>0</v>
      </c>
      <c r="AY143" s="198">
        <v>0</v>
      </c>
      <c r="AZ143" s="191">
        <f>(AV143-AY143)*AU143</f>
        <v>0</v>
      </c>
      <c r="BA143" s="191">
        <f t="shared" si="306"/>
        <v>113.23466403162055</v>
      </c>
      <c r="BB143" s="191">
        <f t="shared" si="307"/>
        <v>238.17697769078745</v>
      </c>
      <c r="BC143" s="166">
        <f t="shared" si="308"/>
        <v>124.9423136591669</v>
      </c>
      <c r="BD143" s="199">
        <v>0.2</v>
      </c>
      <c r="BE143" s="200">
        <f>0.45*BD143*BF144</f>
        <v>6.3000000000000014E-2</v>
      </c>
    </row>
    <row r="144" spans="2:60" ht="14.4" thickBot="1" x14ac:dyDescent="0.35">
      <c r="B144" s="309"/>
      <c r="C144" s="311"/>
      <c r="D144" s="299"/>
      <c r="E144" s="218" t="str">
        <f t="shared" si="284"/>
        <v>nein</v>
      </c>
      <c r="F144" s="95" t="str">
        <f>F141</f>
        <v>Graminizid</v>
      </c>
      <c r="G144" s="220">
        <v>1</v>
      </c>
      <c r="H144" s="221">
        <v>25</v>
      </c>
      <c r="I144" s="244">
        <f t="shared" si="285"/>
        <v>40.318499999999993</v>
      </c>
      <c r="J144" s="222"/>
      <c r="K144" s="244">
        <f t="shared" si="286"/>
        <v>0</v>
      </c>
      <c r="L144" s="245"/>
      <c r="M144" s="244">
        <f t="shared" si="287"/>
        <v>0</v>
      </c>
      <c r="N144" s="222">
        <v>1</v>
      </c>
      <c r="O144" s="244">
        <f t="shared" si="288"/>
        <v>46.151818181818179</v>
      </c>
      <c r="P144" s="245">
        <v>2</v>
      </c>
      <c r="Q144" s="244">
        <f t="shared" si="289"/>
        <v>92.303636363636357</v>
      </c>
      <c r="R144" s="222">
        <v>1</v>
      </c>
      <c r="S144" s="244">
        <f t="shared" si="290"/>
        <v>44.63739130434783</v>
      </c>
      <c r="T144" s="245">
        <v>1.5</v>
      </c>
      <c r="U144" s="244">
        <f t="shared" si="291"/>
        <v>66.956086956521744</v>
      </c>
      <c r="V144" s="222"/>
      <c r="W144" s="244">
        <f t="shared" si="292"/>
        <v>0</v>
      </c>
      <c r="X144" s="245"/>
      <c r="Y144" s="244">
        <f t="shared" si="293"/>
        <v>0</v>
      </c>
      <c r="Z144" s="222"/>
      <c r="AA144" s="244">
        <f t="shared" si="294"/>
        <v>0</v>
      </c>
      <c r="AB144" s="245"/>
      <c r="AC144" s="244">
        <f t="shared" si="295"/>
        <v>0</v>
      </c>
      <c r="AD144" s="222"/>
      <c r="AE144" s="244">
        <f t="shared" si="296"/>
        <v>0</v>
      </c>
      <c r="AF144" s="245">
        <v>1</v>
      </c>
      <c r="AG144" s="244">
        <f t="shared" si="297"/>
        <v>44.328076923076921</v>
      </c>
      <c r="AH144" s="222"/>
      <c r="AI144" s="244">
        <f t="shared" si="298"/>
        <v>0</v>
      </c>
      <c r="AJ144" s="245"/>
      <c r="AK144" s="244">
        <f t="shared" si="299"/>
        <v>0</v>
      </c>
      <c r="AL144" s="222"/>
      <c r="AM144" s="244">
        <f t="shared" si="300"/>
        <v>0</v>
      </c>
      <c r="AN144" s="245"/>
      <c r="AO144" s="244">
        <f t="shared" si="301"/>
        <v>0</v>
      </c>
      <c r="AP144" s="222"/>
      <c r="AQ144" s="244">
        <f t="shared" si="302"/>
        <v>0</v>
      </c>
      <c r="AR144" s="245"/>
      <c r="AS144" s="244">
        <f t="shared" si="303"/>
        <v>0</v>
      </c>
      <c r="AT144" s="224">
        <f>AT143</f>
        <v>0</v>
      </c>
      <c r="AU144" s="225">
        <f t="shared" ref="AU144" si="311">AT144*0.9</f>
        <v>0</v>
      </c>
      <c r="AV144" s="226">
        <f>AV143</f>
        <v>0</v>
      </c>
      <c r="AW144" s="244">
        <f t="shared" si="304"/>
        <v>0</v>
      </c>
      <c r="AX144" s="227">
        <f>AX143</f>
        <v>0</v>
      </c>
      <c r="AY144" s="246">
        <v>0</v>
      </c>
      <c r="AZ144" s="244">
        <f t="shared" ref="AZ144" si="312">(AV144-AY144)*AU144</f>
        <v>0</v>
      </c>
      <c r="BA144" s="244">
        <f t="shared" si="306"/>
        <v>90.789209486166015</v>
      </c>
      <c r="BB144" s="244">
        <f t="shared" si="307"/>
        <v>199.14092524323502</v>
      </c>
      <c r="BC144" s="247">
        <f t="shared" si="308"/>
        <v>108.351715757069</v>
      </c>
      <c r="BD144" s="229">
        <v>0.8</v>
      </c>
      <c r="BE144" s="248">
        <f>BF144-BE143-BE133-BE132</f>
        <v>0.252</v>
      </c>
      <c r="BF144" s="167">
        <f>1-BF142-BF140-BF138</f>
        <v>0.70000000000000007</v>
      </c>
    </row>
    <row r="145" spans="2:57" ht="13.8" x14ac:dyDescent="0.3">
      <c r="B145" s="309"/>
      <c r="C145" s="311"/>
      <c r="D145" s="300" t="s">
        <v>64</v>
      </c>
      <c r="E145" s="77" t="s">
        <v>57</v>
      </c>
      <c r="F145" s="141"/>
      <c r="G145" s="142"/>
      <c r="H145" s="143"/>
      <c r="I145" s="144"/>
      <c r="J145" s="145"/>
      <c r="K145" s="144"/>
      <c r="L145" s="146"/>
      <c r="M145" s="144"/>
      <c r="N145" s="145"/>
      <c r="O145" s="144"/>
      <c r="P145" s="146"/>
      <c r="Q145" s="144"/>
      <c r="R145" s="145"/>
      <c r="S145" s="144"/>
      <c r="T145" s="146"/>
      <c r="U145" s="144"/>
      <c r="V145" s="145"/>
      <c r="W145" s="144"/>
      <c r="X145" s="146"/>
      <c r="Y145" s="144"/>
      <c r="Z145" s="145"/>
      <c r="AA145" s="144"/>
      <c r="AB145" s="146"/>
      <c r="AC145" s="144"/>
      <c r="AD145" s="145"/>
      <c r="AE145" s="144"/>
      <c r="AF145" s="146"/>
      <c r="AG145" s="144"/>
      <c r="AH145" s="145"/>
      <c r="AI145" s="144"/>
      <c r="AJ145" s="146"/>
      <c r="AK145" s="144"/>
      <c r="AL145" s="145"/>
      <c r="AM145" s="144"/>
      <c r="AN145" s="146"/>
      <c r="AO145" s="144"/>
      <c r="AP145" s="145"/>
      <c r="AQ145" s="144"/>
      <c r="AR145" s="146"/>
      <c r="AS145" s="144"/>
      <c r="AT145" s="147"/>
      <c r="AU145" s="147"/>
      <c r="AV145" s="148"/>
      <c r="AW145" s="144"/>
      <c r="AX145" s="148"/>
      <c r="AY145" s="148"/>
      <c r="AZ145" s="144"/>
      <c r="BA145" s="144"/>
      <c r="BB145" s="144"/>
      <c r="BC145" s="164">
        <f>(BC137*BE137+BC139*BE139+BC141*BE141+BC143*BE143)/(BE137+BE139+BE141+BE143)</f>
        <v>91.171703323570284</v>
      </c>
      <c r="BD145" s="150"/>
      <c r="BE145" s="92">
        <f>BE137+BE139+BE141+BE143</f>
        <v>0.10633320000000002</v>
      </c>
    </row>
    <row r="146" spans="2:57" ht="14.4" thickBot="1" x14ac:dyDescent="0.35">
      <c r="B146" s="309"/>
      <c r="C146" s="311"/>
      <c r="D146" s="301"/>
      <c r="E146" s="126" t="s">
        <v>59</v>
      </c>
      <c r="F146" s="151"/>
      <c r="G146" s="152"/>
      <c r="H146" s="153"/>
      <c r="I146" s="74"/>
      <c r="J146" s="154"/>
      <c r="K146" s="74"/>
      <c r="L146" s="155"/>
      <c r="M146" s="74"/>
      <c r="N146" s="154"/>
      <c r="O146" s="74"/>
      <c r="P146" s="155"/>
      <c r="Q146" s="74"/>
      <c r="R146" s="154"/>
      <c r="S146" s="74"/>
      <c r="T146" s="155"/>
      <c r="U146" s="74"/>
      <c r="V146" s="154"/>
      <c r="W146" s="74"/>
      <c r="X146" s="155"/>
      <c r="Y146" s="74"/>
      <c r="Z146" s="154"/>
      <c r="AA146" s="74"/>
      <c r="AB146" s="155"/>
      <c r="AC146" s="74"/>
      <c r="AD146" s="154"/>
      <c r="AE146" s="74"/>
      <c r="AF146" s="155"/>
      <c r="AG146" s="74"/>
      <c r="AH146" s="154"/>
      <c r="AI146" s="74"/>
      <c r="AJ146" s="155"/>
      <c r="AK146" s="74"/>
      <c r="AL146" s="154"/>
      <c r="AM146" s="74"/>
      <c r="AN146" s="155"/>
      <c r="AO146" s="74"/>
      <c r="AP146" s="154"/>
      <c r="AQ146" s="74"/>
      <c r="AR146" s="155"/>
      <c r="AS146" s="74"/>
      <c r="AT146" s="156"/>
      <c r="AU146" s="156"/>
      <c r="AV146" s="157"/>
      <c r="AW146" s="74"/>
      <c r="AX146" s="157"/>
      <c r="AY146" s="157"/>
      <c r="AZ146" s="74"/>
      <c r="BA146" s="74"/>
      <c r="BB146" s="74"/>
      <c r="BC146" s="169">
        <f>(BC138*BE138+BC140*BE140+BC142*BE142+BC144*BE144)/(BE138+BE140+BE142+BE144)</f>
        <v>100.69736930908232</v>
      </c>
      <c r="BD146" s="158"/>
      <c r="BE146" s="140">
        <f>BE138+BE140+BE142+BE144</f>
        <v>0.33533280000000004</v>
      </c>
    </row>
    <row r="147" spans="2:57" ht="14.4" thickBot="1" x14ac:dyDescent="0.35">
      <c r="B147" s="309"/>
      <c r="C147" s="311"/>
      <c r="D147" s="301"/>
      <c r="E147" s="206" t="s">
        <v>65</v>
      </c>
      <c r="F147" s="207"/>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0"/>
      <c r="AJ147" s="160"/>
      <c r="AK147" s="160"/>
      <c r="AL147" s="160"/>
      <c r="AM147" s="160"/>
      <c r="AN147" s="160"/>
      <c r="AO147" s="160"/>
      <c r="AP147" s="160"/>
      <c r="AQ147" s="160"/>
      <c r="AR147" s="160"/>
      <c r="AS147" s="160"/>
      <c r="AT147" s="160"/>
      <c r="AU147" s="160"/>
      <c r="AV147" s="160"/>
      <c r="AW147" s="160"/>
      <c r="AX147" s="160"/>
      <c r="AY147" s="160"/>
      <c r="AZ147" s="160"/>
      <c r="BA147" s="160"/>
      <c r="BB147" s="160"/>
      <c r="BC147" s="172">
        <f>(BC145*BE145+BC146*BE146)/(BE145+BE146)</f>
        <v>98.404019704696537</v>
      </c>
      <c r="BD147" s="162"/>
      <c r="BE147" s="163">
        <f>BE145+BE146</f>
        <v>0.44166600000000006</v>
      </c>
    </row>
    <row r="148" spans="2:57" ht="16.2" thickBot="1" x14ac:dyDescent="0.35">
      <c r="B148" s="173" t="s">
        <v>73</v>
      </c>
      <c r="C148" s="174"/>
      <c r="D148" s="174"/>
      <c r="E148" s="175"/>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6"/>
      <c r="BC148" s="177">
        <f>BC136*(BE136)+BC147*(BE147)</f>
        <v>135.17935317755217</v>
      </c>
      <c r="BD148" s="178"/>
      <c r="BE148" s="179"/>
    </row>
    <row r="150" spans="2:57" x14ac:dyDescent="0.3">
      <c r="E150" s="4"/>
      <c r="BB150" s="250"/>
      <c r="BD150" s="4"/>
    </row>
    <row r="151" spans="2:57" ht="18" customHeight="1" thickBot="1" x14ac:dyDescent="0.35">
      <c r="B151" s="251" t="s">
        <v>74</v>
      </c>
      <c r="C151" s="252"/>
      <c r="D151" s="253"/>
      <c r="E151" s="253"/>
      <c r="F151" s="252"/>
      <c r="G151" s="252"/>
      <c r="BD151" s="4"/>
    </row>
    <row r="152" spans="2:57" ht="18" customHeight="1" x14ac:dyDescent="0.3">
      <c r="B152" s="76" t="s">
        <v>17</v>
      </c>
      <c r="C152" s="302" t="s">
        <v>75</v>
      </c>
      <c r="D152" s="302"/>
      <c r="E152" s="302"/>
      <c r="F152" s="302"/>
      <c r="G152" s="303" t="s">
        <v>76</v>
      </c>
      <c r="H152" s="304"/>
      <c r="I152" s="254" t="s">
        <v>77</v>
      </c>
      <c r="J152" s="255"/>
      <c r="AQ152" s="213"/>
      <c r="AR152" s="213"/>
      <c r="BD152" s="4"/>
    </row>
    <row r="153" spans="2:57" ht="18" customHeight="1" x14ac:dyDescent="0.3">
      <c r="B153" s="93"/>
      <c r="C153" s="57" t="s">
        <v>78</v>
      </c>
      <c r="D153" s="57" t="s">
        <v>79</v>
      </c>
      <c r="E153" s="305" t="s">
        <v>80</v>
      </c>
      <c r="F153" s="305"/>
      <c r="G153" s="306" t="s">
        <v>81</v>
      </c>
      <c r="H153" s="307"/>
      <c r="I153" s="256" t="s">
        <v>82</v>
      </c>
      <c r="J153" s="255"/>
      <c r="AQ153" s="213"/>
      <c r="AR153" s="213"/>
      <c r="BD153" s="4"/>
    </row>
    <row r="154" spans="2:57" ht="17.100000000000001" customHeight="1" x14ac:dyDescent="0.25">
      <c r="B154" s="257" t="s">
        <v>56</v>
      </c>
      <c r="C154" s="258">
        <f>BC25</f>
        <v>80.031101272735938</v>
      </c>
      <c r="D154" s="258">
        <f>BC38</f>
        <v>15.361594151153119</v>
      </c>
      <c r="E154" s="291">
        <f>(BC13*BE13+BC14*BE14+BC26*BE26+BC27*BE27+BC15*BE15+BC16*BE16+BC28*BE28+BC29*BE29+BC17*BE17+BC18*BE18+BC30*BE30+BC31*BE31+BC19*BE19+BC20*BE20+BC32*BE32+BC33*BE33+BC21*BE21+BC22*BE22+BC34*BE34+BC35*BE35)</f>
        <v>60.145192264620306</v>
      </c>
      <c r="F154" s="291"/>
      <c r="G154" s="292">
        <v>7.3999999999999996E-2</v>
      </c>
      <c r="H154" s="293"/>
      <c r="I154" s="259">
        <f t="shared" ref="I154:I159" si="313">G154*E154</f>
        <v>4.450744227581902</v>
      </c>
      <c r="J154" s="294" t="s">
        <v>5</v>
      </c>
      <c r="K154" s="295"/>
      <c r="L154" s="295"/>
      <c r="M154" s="295"/>
      <c r="BA154" s="250"/>
    </row>
    <row r="155" spans="2:57" ht="17.100000000000001" customHeight="1" x14ac:dyDescent="0.25">
      <c r="B155" s="260" t="s">
        <v>58</v>
      </c>
      <c r="C155" s="261">
        <f>BC54</f>
        <v>71.720422362141534</v>
      </c>
      <c r="D155" s="261">
        <f>BC69</f>
        <v>36.843981372365214</v>
      </c>
      <c r="E155" s="283">
        <f>(BC40*BE40+BC41*BE41+BC55*BE55+BC56*BE56+BC42*BE42+BC43*BE43+BC57*BE57+BC58*BE58+BC44*BE44+BC45*BE45+BC59*BE59+BC60*BE60+BC46*BE46+BC47*BE47+BC61*BE61+BC62*BE62+BC48*BE48+BC49*BE49+BC63*BE63+BC64*BE64+BC50*BE50+BC51*BE51+BC65*BE65+BC66*BE66)</f>
        <v>59.51368092000299</v>
      </c>
      <c r="F155" s="283"/>
      <c r="G155" s="284">
        <v>0.34</v>
      </c>
      <c r="H155" s="285"/>
      <c r="I155" s="262">
        <f t="shared" si="313"/>
        <v>20.234651512801019</v>
      </c>
      <c r="J155" s="294"/>
      <c r="K155" s="295"/>
      <c r="L155" s="295"/>
      <c r="M155" s="295"/>
      <c r="AP155" s="213"/>
      <c r="BA155" s="250"/>
    </row>
    <row r="156" spans="2:57" ht="17.100000000000001" customHeight="1" x14ac:dyDescent="0.25">
      <c r="B156" s="260" t="s">
        <v>83</v>
      </c>
      <c r="C156" s="261"/>
      <c r="D156" s="261"/>
      <c r="E156" s="283">
        <f>BC102*BE102+BC103*BE103+BC104*BE104+BC105*BE105+BC106*BE106+BC107*BE107+BC108*BE108+BC109*BE109+BC110*BE110+BC111*BE111+BC112*BE112+BC113*BE113</f>
        <v>36.691530388608008</v>
      </c>
      <c r="F156" s="283"/>
      <c r="G156" s="284">
        <v>0.40400000000000003</v>
      </c>
      <c r="H156" s="285"/>
      <c r="I156" s="262">
        <f t="shared" si="313"/>
        <v>14.823378276997635</v>
      </c>
      <c r="J156" s="294"/>
      <c r="K156" s="295"/>
      <c r="L156" s="295"/>
      <c r="M156" s="295"/>
      <c r="BA156" s="250"/>
    </row>
    <row r="157" spans="2:57" ht="17.100000000000001" customHeight="1" x14ac:dyDescent="0.25">
      <c r="B157" s="260" t="s">
        <v>84</v>
      </c>
      <c r="C157" s="261">
        <f>BC85</f>
        <v>65.37157597169562</v>
      </c>
      <c r="D157" s="261">
        <f>BC100</f>
        <v>18.804621825850987</v>
      </c>
      <c r="E157" s="283">
        <f>BC71*BE71+BC72*BE72+BC86*BE86+BC87*BE87+BC73*BE73+BC74*BE74+BC88*BE88+BC89*BE89+BC75*BE75+BC76*BE76+BC90*BE90+BC91*BE91+BC77*BE77+BC78*BE78+BC92*BE92+BC93*BE93+BC79*BE79+BC80*BE80+BC94*BE94+BC95*BE95+BC81*BE81+BC82*BE82+BC96*BE96+BC97*BE97</f>
        <v>37.81946919656324</v>
      </c>
      <c r="F157" s="283"/>
      <c r="G157" s="284">
        <v>5.2999999999999999E-2</v>
      </c>
      <c r="H157" s="285"/>
      <c r="I157" s="262">
        <f t="shared" si="313"/>
        <v>2.0044318674178516</v>
      </c>
      <c r="J157" s="286" t="s">
        <v>85</v>
      </c>
      <c r="K157" s="287"/>
      <c r="L157" s="287"/>
      <c r="M157" s="287"/>
      <c r="BA157" s="250"/>
    </row>
    <row r="158" spans="2:57" ht="17.100000000000001" customHeight="1" x14ac:dyDescent="0.25">
      <c r="B158" s="260" t="s">
        <v>86</v>
      </c>
      <c r="C158" s="261"/>
      <c r="D158" s="261"/>
      <c r="E158" s="283">
        <f>BC117*BE117+BC118*BE118+BC119*BE119+BC120*BE120+BC121*BE121+BC122*BE122</f>
        <v>87.907209189723318</v>
      </c>
      <c r="F158" s="283"/>
      <c r="G158" s="284">
        <v>6.8000000000000005E-2</v>
      </c>
      <c r="H158" s="285"/>
      <c r="I158" s="262">
        <f t="shared" si="313"/>
        <v>5.9776902249011856</v>
      </c>
      <c r="J158" s="286"/>
      <c r="K158" s="287"/>
      <c r="L158" s="287"/>
      <c r="M158" s="287"/>
      <c r="BA158" s="250"/>
    </row>
    <row r="159" spans="2:57" ht="17.100000000000001" customHeight="1" x14ac:dyDescent="0.25">
      <c r="B159" s="263" t="s">
        <v>87</v>
      </c>
      <c r="C159" s="264">
        <f>BC136</f>
        <v>164.27020996510632</v>
      </c>
      <c r="D159" s="264">
        <f>BC147</f>
        <v>98.404019704696537</v>
      </c>
      <c r="E159" s="288">
        <f>BC126*BE126+BC127*BE127+BC137*BE137+BC138*BE138+BC128*BE128+BC129*BE129+BC139*BE139+BC140*BE140+BC130*BE130+BC131*BE131+BC141*BE141+BC142*BE142+BC132*BE132+BC133*BE133+BC143*BE143+BC144*BE144</f>
        <v>135.17935317755217</v>
      </c>
      <c r="F159" s="288"/>
      <c r="G159" s="289">
        <f>1-G158-G157-G156-G155-G154</f>
        <v>6.0999999999999846E-2</v>
      </c>
      <c r="H159" s="290"/>
      <c r="I159" s="265">
        <f t="shared" si="313"/>
        <v>8.2459405438306614</v>
      </c>
      <c r="J159" s="286"/>
      <c r="K159" s="287"/>
      <c r="L159" s="287"/>
      <c r="M159" s="287"/>
      <c r="BA159" s="250"/>
    </row>
    <row r="160" spans="2:57" ht="18" thickBot="1" x14ac:dyDescent="0.35">
      <c r="B160" s="266" t="s">
        <v>88</v>
      </c>
      <c r="C160" s="66"/>
      <c r="D160" s="267"/>
      <c r="E160" s="268"/>
      <c r="F160" s="66"/>
      <c r="G160" s="281">
        <f>SUM(G154:G159)</f>
        <v>0.99999999999999989</v>
      </c>
      <c r="H160" s="282"/>
      <c r="I160" s="269">
        <f>SUM(I154:I159)</f>
        <v>55.736836653530261</v>
      </c>
      <c r="J160" s="270"/>
      <c r="K160" s="271"/>
      <c r="BA160" s="250"/>
    </row>
    <row r="161" spans="2:15" ht="17.399999999999999" x14ac:dyDescent="0.3">
      <c r="B161" s="251"/>
      <c r="G161" s="272"/>
      <c r="H161" s="273"/>
      <c r="I161" s="273"/>
      <c r="J161" s="274"/>
      <c r="K161" s="271"/>
      <c r="L161" s="271"/>
      <c r="M161" s="275"/>
      <c r="N161" s="275"/>
      <c r="O161" s="276"/>
    </row>
    <row r="162" spans="2:15" x14ac:dyDescent="0.3">
      <c r="B162" s="249" t="s">
        <v>89</v>
      </c>
    </row>
    <row r="163" spans="2:15" x14ac:dyDescent="0.3">
      <c r="B163" s="249" t="s">
        <v>90</v>
      </c>
      <c r="D163" s="277"/>
    </row>
    <row r="164" spans="2:15" x14ac:dyDescent="0.3">
      <c r="B164" s="249" t="s">
        <v>91</v>
      </c>
      <c r="D164" s="277"/>
    </row>
    <row r="165" spans="2:15" x14ac:dyDescent="0.3">
      <c r="D165" s="277"/>
    </row>
    <row r="166" spans="2:15" x14ac:dyDescent="0.3">
      <c r="D166" s="277"/>
    </row>
    <row r="167" spans="2:15" ht="15.6" x14ac:dyDescent="0.3">
      <c r="D167" s="278" t="s">
        <v>92</v>
      </c>
      <c r="E167" s="279" t="s">
        <v>93</v>
      </c>
    </row>
    <row r="168" spans="2:15" x14ac:dyDescent="0.3">
      <c r="D168" s="277"/>
    </row>
    <row r="169" spans="2:15" x14ac:dyDescent="0.3">
      <c r="D169" s="280"/>
    </row>
  </sheetData>
  <mergeCells count="155">
    <mergeCell ref="F9:I9"/>
    <mergeCell ref="J9:M9"/>
    <mergeCell ref="N9:Q9"/>
    <mergeCell ref="R9:U9"/>
    <mergeCell ref="V9:Y9"/>
    <mergeCell ref="Z9:AC9"/>
    <mergeCell ref="J3:M5"/>
    <mergeCell ref="AT3:BB8"/>
    <mergeCell ref="BC3:BE5"/>
    <mergeCell ref="F4:G4"/>
    <mergeCell ref="F5:G5"/>
    <mergeCell ref="F6:G6"/>
    <mergeCell ref="J6:M8"/>
    <mergeCell ref="N6:O6"/>
    <mergeCell ref="BC6:BE8"/>
    <mergeCell ref="BA9:BB9"/>
    <mergeCell ref="BC9:BC12"/>
    <mergeCell ref="BD9:BD12"/>
    <mergeCell ref="BE9:BE12"/>
    <mergeCell ref="J10:K10"/>
    <mergeCell ref="L10:M10"/>
    <mergeCell ref="N10:O10"/>
    <mergeCell ref="P10:Q10"/>
    <mergeCell ref="R10:S10"/>
    <mergeCell ref="T10:U10"/>
    <mergeCell ref="AD9:AG9"/>
    <mergeCell ref="AH9:AK9"/>
    <mergeCell ref="AL9:AO9"/>
    <mergeCell ref="AP9:AS9"/>
    <mergeCell ref="AT9:AW9"/>
    <mergeCell ref="AX9:AZ9"/>
    <mergeCell ref="AH10:AI10"/>
    <mergeCell ref="AJ10:AK10"/>
    <mergeCell ref="AL10:AM10"/>
    <mergeCell ref="AN10:AO10"/>
    <mergeCell ref="AP10:AQ10"/>
    <mergeCell ref="AR10:AS10"/>
    <mergeCell ref="V10:W10"/>
    <mergeCell ref="X10:Y10"/>
    <mergeCell ref="Z10:AA10"/>
    <mergeCell ref="AB10:AC10"/>
    <mergeCell ref="AD10:AE10"/>
    <mergeCell ref="AF10:AG10"/>
    <mergeCell ref="AL11:AM11"/>
    <mergeCell ref="AN11:AO11"/>
    <mergeCell ref="AP11:AQ11"/>
    <mergeCell ref="AR11:AS11"/>
    <mergeCell ref="B13:B38"/>
    <mergeCell ref="C13:C25"/>
    <mergeCell ref="D13:D14"/>
    <mergeCell ref="D15:D16"/>
    <mergeCell ref="D17:D18"/>
    <mergeCell ref="D19:D20"/>
    <mergeCell ref="Z11:AA11"/>
    <mergeCell ref="AB11:AC11"/>
    <mergeCell ref="AD11:AE11"/>
    <mergeCell ref="AF11:AG11"/>
    <mergeCell ref="AH11:AI11"/>
    <mergeCell ref="AJ11:AK11"/>
    <mergeCell ref="N11:O11"/>
    <mergeCell ref="P11:Q11"/>
    <mergeCell ref="R11:S11"/>
    <mergeCell ref="T11:U11"/>
    <mergeCell ref="V11:W11"/>
    <mergeCell ref="X11:Y11"/>
    <mergeCell ref="D21:D22"/>
    <mergeCell ref="D23:D25"/>
    <mergeCell ref="C26:C38"/>
    <mergeCell ref="D26:D27"/>
    <mergeCell ref="D28:D29"/>
    <mergeCell ref="D30:D31"/>
    <mergeCell ref="D32:D33"/>
    <mergeCell ref="D34:D35"/>
    <mergeCell ref="D36:D38"/>
    <mergeCell ref="D55:D56"/>
    <mergeCell ref="D57:D58"/>
    <mergeCell ref="D59:D60"/>
    <mergeCell ref="D61:D62"/>
    <mergeCell ref="D63:D64"/>
    <mergeCell ref="D65:D66"/>
    <mergeCell ref="B40:B69"/>
    <mergeCell ref="C40:C54"/>
    <mergeCell ref="D40:D41"/>
    <mergeCell ref="D42:D43"/>
    <mergeCell ref="D44:D45"/>
    <mergeCell ref="D46:D47"/>
    <mergeCell ref="D48:D49"/>
    <mergeCell ref="D50:D51"/>
    <mergeCell ref="D52:D54"/>
    <mergeCell ref="C55:C69"/>
    <mergeCell ref="D67:D69"/>
    <mergeCell ref="B71:B100"/>
    <mergeCell ref="C71:C85"/>
    <mergeCell ref="D71:D72"/>
    <mergeCell ref="D73:D74"/>
    <mergeCell ref="D75:D76"/>
    <mergeCell ref="D77:D78"/>
    <mergeCell ref="D79:D80"/>
    <mergeCell ref="D81:D82"/>
    <mergeCell ref="D83:D85"/>
    <mergeCell ref="C86:C100"/>
    <mergeCell ref="D86:D87"/>
    <mergeCell ref="D88:D89"/>
    <mergeCell ref="D90:D91"/>
    <mergeCell ref="D92:D93"/>
    <mergeCell ref="D94:D95"/>
    <mergeCell ref="D96:D97"/>
    <mergeCell ref="D98:D100"/>
    <mergeCell ref="B117:B124"/>
    <mergeCell ref="C117:C124"/>
    <mergeCell ref="D117:D118"/>
    <mergeCell ref="D119:D120"/>
    <mergeCell ref="D121:D122"/>
    <mergeCell ref="D123:D124"/>
    <mergeCell ref="B102:B115"/>
    <mergeCell ref="C102:C115"/>
    <mergeCell ref="D102:D103"/>
    <mergeCell ref="D104:D105"/>
    <mergeCell ref="D106:D107"/>
    <mergeCell ref="D108:D109"/>
    <mergeCell ref="D110:D111"/>
    <mergeCell ref="D112:D113"/>
    <mergeCell ref="D114:D115"/>
    <mergeCell ref="D141:D142"/>
    <mergeCell ref="D143:D144"/>
    <mergeCell ref="D145:D147"/>
    <mergeCell ref="C152:F152"/>
    <mergeCell ref="G152:H152"/>
    <mergeCell ref="E153:F153"/>
    <mergeCell ref="G153:H153"/>
    <mergeCell ref="B126:B147"/>
    <mergeCell ref="C126:C136"/>
    <mergeCell ref="D126:D127"/>
    <mergeCell ref="D128:D129"/>
    <mergeCell ref="D130:D131"/>
    <mergeCell ref="D132:D133"/>
    <mergeCell ref="D134:D136"/>
    <mergeCell ref="C137:C147"/>
    <mergeCell ref="D137:D138"/>
    <mergeCell ref="D139:D140"/>
    <mergeCell ref="G160:H160"/>
    <mergeCell ref="E157:F157"/>
    <mergeCell ref="G157:H157"/>
    <mergeCell ref="J157:M159"/>
    <mergeCell ref="E158:F158"/>
    <mergeCell ref="G158:H158"/>
    <mergeCell ref="E159:F159"/>
    <mergeCell ref="G159:H159"/>
    <mergeCell ref="E154:F154"/>
    <mergeCell ref="G154:H154"/>
    <mergeCell ref="J154:M156"/>
    <mergeCell ref="E155:F155"/>
    <mergeCell ref="G155:H155"/>
    <mergeCell ref="E156:F156"/>
    <mergeCell ref="G156:H156"/>
  </mergeCells>
  <hyperlinks>
    <hyperlink ref="E167" r:id="rId1" xr:uid="{6AEB2DF5-12CB-4341-9E00-E081E2FBE145}"/>
  </hyperlinks>
  <pageMargins left="0.7" right="0.7" top="0.78740157499999996" bottom="0.78740157499999996" header="0.3" footer="0.3"/>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Joachim Hasberg</dc:creator>
  <cp:lastModifiedBy>Joachim Hasberg</cp:lastModifiedBy>
  <dcterms:created xsi:type="dcterms:W3CDTF">2026-03-05T11:38:20Z</dcterms:created>
  <dcterms:modified xsi:type="dcterms:W3CDTF">2026-03-10T09:09:52Z</dcterms:modified>
</cp:coreProperties>
</file>